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09303\Desktop\lietuvosregionai\Utena\2018 09 27\"/>
    </mc:Choice>
  </mc:AlternateContent>
  <bookViews>
    <workbookView xWindow="0" yWindow="120" windowWidth="19440" windowHeight="11850" activeTab="1"/>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S_4 lentelė" sheetId="8" r:id="rId8"/>
    <sheet name="S_5 lentelė " sheetId="10" r:id="rId9"/>
  </sheets>
  <definedNames>
    <definedName name="_xlnm._FilterDatabase" localSheetId="1" hidden="1">'2 lentelė'!$A$6:$V$192</definedName>
    <definedName name="_xlnm._FilterDatabase" localSheetId="2" hidden="1">'3 lentelė'!$B$5:$Z$191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3" i="8" l="1"/>
  <c r="M43" i="8" l="1"/>
  <c r="L43" i="8"/>
  <c r="J43" i="8"/>
  <c r="J26" i="8"/>
  <c r="M12" i="8"/>
  <c r="K12" i="8"/>
  <c r="J12" i="8"/>
  <c r="F19" i="7"/>
  <c r="F16" i="7"/>
  <c r="O42" i="1"/>
  <c r="N42" i="1"/>
  <c r="O48" i="1"/>
  <c r="N48" i="1"/>
  <c r="J43" i="1" l="1"/>
  <c r="O41" i="1"/>
  <c r="N41" i="1"/>
  <c r="K40" i="1" l="1"/>
  <c r="N40" i="1"/>
  <c r="O40" i="1"/>
  <c r="P40" i="1"/>
  <c r="Q40" i="1"/>
  <c r="J40" i="1"/>
  <c r="R53" i="1"/>
  <c r="S53" i="1"/>
  <c r="O53" i="1"/>
  <c r="N53" i="1"/>
  <c r="R52" i="1"/>
  <c r="S52" i="1"/>
  <c r="Q52" i="1"/>
  <c r="P52" i="1"/>
  <c r="R51" i="1"/>
  <c r="S51" i="1"/>
  <c r="O51" i="1"/>
  <c r="N51" i="1"/>
  <c r="R50" i="1"/>
  <c r="S50" i="1"/>
  <c r="O50" i="1"/>
  <c r="N50" i="1"/>
  <c r="R49" i="1"/>
  <c r="S49" i="1"/>
  <c r="Q49" i="1"/>
  <c r="P49" i="1"/>
  <c r="O90" i="1" l="1"/>
  <c r="N90" i="1"/>
  <c r="L40" i="8" l="1"/>
  <c r="L19" i="8" l="1"/>
  <c r="L18" i="8"/>
  <c r="L17" i="8"/>
  <c r="F14" i="7"/>
  <c r="F26" i="7"/>
  <c r="L81" i="1"/>
  <c r="M81" i="1"/>
  <c r="P81" i="1"/>
  <c r="Q81" i="1"/>
  <c r="O92" i="1"/>
  <c r="O81" i="1" s="1"/>
  <c r="N92" i="1"/>
  <c r="N81" i="1" s="1"/>
  <c r="S92" i="1" l="1"/>
  <c r="R92" i="1"/>
  <c r="L20" i="8"/>
  <c r="K19" i="8"/>
  <c r="K17" i="8"/>
  <c r="K37" i="8" l="1"/>
  <c r="O66" i="1"/>
  <c r="N66" i="1"/>
  <c r="K36" i="8" l="1"/>
  <c r="F57" i="7"/>
  <c r="I15" i="5" l="1"/>
  <c r="E60" i="1" l="1"/>
  <c r="F60" i="1"/>
  <c r="G60" i="1"/>
  <c r="H60" i="1"/>
  <c r="I60" i="1"/>
  <c r="J60" i="1"/>
  <c r="K60" i="1"/>
  <c r="L60" i="1"/>
  <c r="M60" i="1"/>
  <c r="P60" i="1"/>
  <c r="Q60" i="1"/>
  <c r="D60" i="1"/>
  <c r="O62" i="1"/>
  <c r="N62" i="1"/>
  <c r="R62" i="1" s="1"/>
  <c r="S62" i="1" l="1"/>
  <c r="O61" i="1"/>
  <c r="O60" i="1" s="1"/>
  <c r="N61" i="1"/>
  <c r="N60" i="1" s="1"/>
  <c r="V54" i="1" l="1"/>
  <c r="M48" i="8" l="1"/>
  <c r="L48" i="8"/>
  <c r="K48" i="8"/>
  <c r="J48" i="8"/>
  <c r="K31" i="8"/>
  <c r="I31" i="8"/>
  <c r="K59" i="8"/>
  <c r="J59" i="8"/>
  <c r="M14" i="8"/>
  <c r="K14" i="8"/>
  <c r="J14" i="8"/>
  <c r="I14" i="8"/>
  <c r="F43" i="7" l="1"/>
  <c r="K18" i="1"/>
  <c r="J18" i="1"/>
  <c r="L59" i="8" l="1"/>
  <c r="O145" i="1"/>
  <c r="N145" i="1"/>
  <c r="F49" i="7" l="1"/>
  <c r="E76" i="1"/>
  <c r="F76" i="1"/>
  <c r="G76" i="1"/>
  <c r="H76" i="1"/>
  <c r="I76" i="1"/>
  <c r="L76" i="1"/>
  <c r="M76" i="1"/>
  <c r="P76" i="1"/>
  <c r="Q76" i="1"/>
  <c r="D76" i="1"/>
  <c r="O78" i="1"/>
  <c r="O76" i="1" s="1"/>
  <c r="N78" i="1"/>
  <c r="N76" i="1" s="1"/>
  <c r="R78" i="1" l="1"/>
  <c r="S78" i="1"/>
  <c r="F37" i="7" l="1"/>
  <c r="F36" i="7"/>
  <c r="O24" i="1" l="1"/>
  <c r="N24" i="1"/>
  <c r="O105" i="1" l="1"/>
  <c r="N105" i="1"/>
  <c r="M45" i="1" l="1"/>
  <c r="L45" i="1"/>
  <c r="K60" i="8" l="1"/>
  <c r="S145" i="1"/>
  <c r="R145" i="1"/>
  <c r="L148" i="2"/>
  <c r="L60" i="8" l="1"/>
  <c r="J60" i="8"/>
  <c r="J60" i="10" s="1"/>
  <c r="K60" i="10" s="1"/>
  <c r="J59" i="10"/>
  <c r="K59" i="10" s="1"/>
  <c r="F34" i="7"/>
  <c r="AD68" i="3"/>
  <c r="AC68" i="3"/>
  <c r="AB68" i="3"/>
  <c r="AA68" i="3"/>
  <c r="Z68" i="3"/>
  <c r="AD67" i="3"/>
  <c r="AC67" i="3"/>
  <c r="AA67" i="3"/>
  <c r="AB67" i="3"/>
  <c r="Z67" i="3"/>
  <c r="L60" i="10" l="1"/>
  <c r="M60" i="10" s="1"/>
  <c r="N60" i="10" s="1"/>
  <c r="L59" i="10"/>
  <c r="M59" i="10" s="1"/>
  <c r="N59" i="10" s="1"/>
  <c r="AE68" i="3"/>
  <c r="D56" i="4" s="1"/>
  <c r="AE67" i="3"/>
  <c r="D55" i="4" s="1"/>
  <c r="P137" i="1"/>
  <c r="Q137" i="1"/>
  <c r="J28" i="5" s="1"/>
  <c r="M144" i="1"/>
  <c r="S144" i="1" s="1"/>
  <c r="L144" i="1"/>
  <c r="R144" i="1" s="1"/>
  <c r="O143" i="1" l="1"/>
  <c r="S143" i="1" s="1"/>
  <c r="N143" i="1"/>
  <c r="R143" i="1" s="1"/>
  <c r="O142" i="1" l="1"/>
  <c r="S142" i="1" s="1"/>
  <c r="N142" i="1"/>
  <c r="R142" i="1" s="1"/>
  <c r="M141" i="1" l="1"/>
  <c r="S141" i="1" s="1"/>
  <c r="L141" i="1"/>
  <c r="R141" i="1" s="1"/>
  <c r="M140" i="1" l="1"/>
  <c r="S140" i="1" s="1"/>
  <c r="L140" i="1"/>
  <c r="R140" i="1" s="1"/>
  <c r="O139" i="1" l="1"/>
  <c r="N139" i="1"/>
  <c r="S139" i="1" l="1"/>
  <c r="O137" i="1"/>
  <c r="I28" i="5" s="1"/>
  <c r="R139" i="1"/>
  <c r="N137" i="1"/>
  <c r="M138" i="1"/>
  <c r="L138" i="1"/>
  <c r="S138" i="1" l="1"/>
  <c r="S137" i="1" s="1"/>
  <c r="U137" i="1" s="1"/>
  <c r="M137" i="1"/>
  <c r="H28" i="5" s="1"/>
  <c r="R138" i="1"/>
  <c r="R137" i="1" s="1"/>
  <c r="L137" i="1"/>
  <c r="O56" i="1"/>
  <c r="S56" i="1" s="1"/>
  <c r="N56" i="1"/>
  <c r="R56" i="1" s="1"/>
  <c r="O46" i="1" l="1"/>
  <c r="N46" i="1"/>
  <c r="M19" i="8" l="1"/>
  <c r="M17" i="8"/>
  <c r="R91" i="1" l="1"/>
  <c r="S91" i="1"/>
  <c r="J17" i="8" l="1"/>
  <c r="F13" i="7"/>
  <c r="R88" i="1" l="1"/>
  <c r="S88" i="1"/>
  <c r="R89" i="1"/>
  <c r="S89" i="1"/>
  <c r="R90" i="1"/>
  <c r="S90" i="1"/>
  <c r="O190" i="1" l="1"/>
  <c r="N190" i="1"/>
  <c r="M189" i="1"/>
  <c r="L189" i="1"/>
  <c r="M188" i="1"/>
  <c r="L188" i="1"/>
  <c r="M187" i="1"/>
  <c r="L187" i="1"/>
  <c r="K186" i="1"/>
  <c r="J186" i="1"/>
  <c r="M185" i="1"/>
  <c r="L185" i="1"/>
  <c r="K184" i="1"/>
  <c r="J184" i="1"/>
  <c r="K181" i="1"/>
  <c r="J181" i="1"/>
  <c r="K180" i="1"/>
  <c r="J180" i="1"/>
  <c r="K179" i="1"/>
  <c r="J179" i="1"/>
  <c r="K178" i="1"/>
  <c r="J178" i="1"/>
  <c r="K177" i="1"/>
  <c r="J177" i="1"/>
  <c r="K176" i="1"/>
  <c r="J176" i="1"/>
  <c r="I173" i="1"/>
  <c r="H173" i="1"/>
  <c r="I172" i="1"/>
  <c r="H172" i="1"/>
  <c r="I171" i="1"/>
  <c r="H171" i="1"/>
  <c r="I170" i="1"/>
  <c r="H170" i="1"/>
  <c r="I169" i="1"/>
  <c r="H169" i="1"/>
  <c r="K168" i="1"/>
  <c r="J168" i="1"/>
  <c r="M166" i="1"/>
  <c r="L166" i="1"/>
  <c r="K165" i="1"/>
  <c r="J165" i="1"/>
  <c r="M164" i="1"/>
  <c r="L164" i="1"/>
  <c r="M163" i="1"/>
  <c r="L163" i="1"/>
  <c r="M160" i="1"/>
  <c r="L160" i="1"/>
  <c r="M159" i="1"/>
  <c r="L159" i="1"/>
  <c r="M158" i="1"/>
  <c r="L158" i="1"/>
  <c r="M157" i="1"/>
  <c r="L157" i="1"/>
  <c r="M156" i="1"/>
  <c r="L156" i="1"/>
  <c r="M155" i="1"/>
  <c r="L155" i="1"/>
  <c r="M152" i="1"/>
  <c r="L152" i="1"/>
  <c r="M151" i="1"/>
  <c r="L151" i="1"/>
  <c r="M150" i="1"/>
  <c r="L150" i="1"/>
  <c r="M149" i="1"/>
  <c r="L149" i="1"/>
  <c r="M148" i="1"/>
  <c r="L148" i="1"/>
  <c r="M147" i="1"/>
  <c r="L147" i="1"/>
  <c r="K134" i="1"/>
  <c r="J134" i="1"/>
  <c r="K133" i="1"/>
  <c r="J133" i="1"/>
  <c r="K130" i="1"/>
  <c r="J130" i="1"/>
  <c r="K129" i="1"/>
  <c r="J129" i="1"/>
  <c r="K128" i="1"/>
  <c r="J128" i="1"/>
  <c r="M126" i="1"/>
  <c r="L126" i="1"/>
  <c r="M125" i="1"/>
  <c r="L125" i="1"/>
  <c r="M118" i="1"/>
  <c r="L118" i="1"/>
  <c r="K102" i="1"/>
  <c r="J102" i="1"/>
  <c r="K101" i="1"/>
  <c r="J101" i="1"/>
  <c r="K100" i="1"/>
  <c r="J100" i="1"/>
  <c r="K99" i="1"/>
  <c r="J99" i="1"/>
  <c r="K98" i="1"/>
  <c r="J98" i="1"/>
  <c r="K97" i="1"/>
  <c r="J97" i="1"/>
  <c r="K95" i="1"/>
  <c r="J95" i="1"/>
  <c r="K94" i="1"/>
  <c r="J94" i="1"/>
  <c r="K77" i="1"/>
  <c r="K76" i="1" s="1"/>
  <c r="J77" i="1"/>
  <c r="J76" i="1" s="1"/>
  <c r="K74" i="1"/>
  <c r="J74" i="1"/>
  <c r="K73" i="1"/>
  <c r="J73" i="1"/>
  <c r="K72" i="1"/>
  <c r="J72" i="1"/>
  <c r="K71" i="1"/>
  <c r="J71" i="1"/>
  <c r="M59" i="1"/>
  <c r="S59" i="1" s="1"/>
  <c r="L59" i="1"/>
  <c r="R59" i="1" s="1"/>
  <c r="M58" i="1"/>
  <c r="S58" i="1" s="1"/>
  <c r="L58" i="1"/>
  <c r="R58" i="1" s="1"/>
  <c r="M57" i="1"/>
  <c r="S57" i="1" s="1"/>
  <c r="L57" i="1"/>
  <c r="R57" i="1" s="1"/>
  <c r="M40" i="1"/>
  <c r="L40" i="1"/>
  <c r="M47" i="1"/>
  <c r="L47" i="1"/>
  <c r="K44" i="1"/>
  <c r="J44" i="1"/>
  <c r="K43" i="1"/>
  <c r="K34" i="1" l="1"/>
  <c r="J34" i="1"/>
  <c r="K29" i="1"/>
  <c r="J29" i="1"/>
  <c r="I31" i="1"/>
  <c r="H31" i="1"/>
  <c r="I30" i="1"/>
  <c r="H30" i="1"/>
  <c r="M20" i="1"/>
  <c r="O17" i="1"/>
  <c r="N17" i="1"/>
  <c r="M26" i="1"/>
  <c r="L26" i="1"/>
  <c r="M22" i="1"/>
  <c r="L22" i="1"/>
  <c r="L20" i="1"/>
  <c r="M19" i="1"/>
  <c r="L19" i="1"/>
  <c r="M14" i="1"/>
  <c r="L14" i="1"/>
  <c r="K27" i="1"/>
  <c r="J27" i="1"/>
  <c r="K25" i="1"/>
  <c r="J25" i="1"/>
  <c r="K23" i="1"/>
  <c r="J23" i="1"/>
  <c r="K21" i="1"/>
  <c r="J21" i="1"/>
  <c r="K16" i="1"/>
  <c r="J16" i="1"/>
  <c r="K15" i="1"/>
  <c r="J15" i="1"/>
  <c r="I86" i="1" l="1"/>
  <c r="H86" i="1"/>
  <c r="I85" i="1"/>
  <c r="H85" i="1"/>
  <c r="I84" i="1"/>
  <c r="H84" i="1"/>
  <c r="I82" i="1"/>
  <c r="H82" i="1"/>
  <c r="O114" i="1"/>
  <c r="N114" i="1"/>
  <c r="O112" i="1"/>
  <c r="N112" i="1"/>
  <c r="O111" i="1"/>
  <c r="N111" i="1"/>
  <c r="M113" i="1"/>
  <c r="L113" i="1"/>
  <c r="M110" i="1"/>
  <c r="L110" i="1"/>
  <c r="K108" i="1"/>
  <c r="J108" i="1"/>
  <c r="K107" i="1"/>
  <c r="J107" i="1"/>
  <c r="K106" i="1"/>
  <c r="J106" i="1"/>
  <c r="I109" i="1"/>
  <c r="H109" i="1" l="1"/>
  <c r="J20" i="8" l="1"/>
  <c r="J19" i="8"/>
  <c r="J18" i="8"/>
  <c r="J40" i="8"/>
  <c r="I40" i="8"/>
  <c r="E67" i="1" l="1"/>
  <c r="F67" i="1"/>
  <c r="D67" i="1"/>
  <c r="E10" i="1"/>
  <c r="F10" i="1"/>
  <c r="D10" i="1"/>
  <c r="I87" i="1"/>
  <c r="I81" i="1" s="1"/>
  <c r="H87" i="1"/>
  <c r="H81" i="1" s="1"/>
  <c r="K83" i="1"/>
  <c r="K81" i="1" s="1"/>
  <c r="J83" i="1"/>
  <c r="J81" i="1" s="1"/>
  <c r="E12" i="10" l="1"/>
  <c r="F12" i="10" s="1"/>
  <c r="G12" i="10" s="1"/>
  <c r="H12" i="10" s="1"/>
  <c r="I12" i="10" s="1"/>
  <c r="J12" i="10" s="1"/>
  <c r="K12" i="10" s="1"/>
  <c r="L12" i="10" s="1"/>
  <c r="M12" i="10" s="1"/>
  <c r="N12" i="10" s="1"/>
  <c r="E13" i="10"/>
  <c r="F13" i="10" s="1"/>
  <c r="G13" i="10" s="1"/>
  <c r="H13" i="10" s="1"/>
  <c r="I13" i="10" s="1"/>
  <c r="J13" i="10" s="1"/>
  <c r="K13" i="10" s="1"/>
  <c r="L13" i="10" s="1"/>
  <c r="M13" i="10" s="1"/>
  <c r="N13" i="10" s="1"/>
  <c r="E14" i="10"/>
  <c r="F14" i="10" s="1"/>
  <c r="G14" i="10" s="1"/>
  <c r="H14" i="10" s="1"/>
  <c r="I14" i="10" s="1"/>
  <c r="E15" i="10"/>
  <c r="F15" i="10" s="1"/>
  <c r="G15" i="10" s="1"/>
  <c r="H15" i="10" s="1"/>
  <c r="I15" i="10" s="1"/>
  <c r="J15" i="10" s="1"/>
  <c r="K15" i="10" s="1"/>
  <c r="L15" i="10" s="1"/>
  <c r="M15" i="10" s="1"/>
  <c r="N15" i="10" s="1"/>
  <c r="E16" i="10"/>
  <c r="F16" i="10" s="1"/>
  <c r="G16" i="10" s="1"/>
  <c r="H16" i="10" s="1"/>
  <c r="I16" i="10" s="1"/>
  <c r="J16" i="10" s="1"/>
  <c r="K16" i="10" s="1"/>
  <c r="L16" i="10" s="1"/>
  <c r="M16" i="10" s="1"/>
  <c r="N16" i="10" s="1"/>
  <c r="E17" i="10"/>
  <c r="F17" i="10" s="1"/>
  <c r="G17" i="10" s="1"/>
  <c r="H17" i="10" s="1"/>
  <c r="I17" i="10" s="1"/>
  <c r="J17" i="10" s="1"/>
  <c r="K17" i="10" s="1"/>
  <c r="L17" i="10" s="1"/>
  <c r="M17" i="10" s="1"/>
  <c r="N17" i="10" s="1"/>
  <c r="E18" i="10"/>
  <c r="F18" i="10" s="1"/>
  <c r="G18" i="10" s="1"/>
  <c r="H18" i="10" s="1"/>
  <c r="I18" i="10" s="1"/>
  <c r="J18" i="10" s="1"/>
  <c r="K18" i="10" s="1"/>
  <c r="L18" i="10" s="1"/>
  <c r="M18" i="10" s="1"/>
  <c r="N18" i="10" s="1"/>
  <c r="E19" i="10"/>
  <c r="F19" i="10" s="1"/>
  <c r="G19" i="10" s="1"/>
  <c r="H19" i="10" s="1"/>
  <c r="I19" i="10" s="1"/>
  <c r="J19" i="10" s="1"/>
  <c r="K19" i="10" s="1"/>
  <c r="L19" i="10" s="1"/>
  <c r="M19" i="10" s="1"/>
  <c r="N19" i="10" s="1"/>
  <c r="E20" i="10"/>
  <c r="F20" i="10" s="1"/>
  <c r="G20" i="10" s="1"/>
  <c r="H20" i="10" s="1"/>
  <c r="I20" i="10" s="1"/>
  <c r="J20" i="10" s="1"/>
  <c r="K20" i="10" s="1"/>
  <c r="L20" i="10" s="1"/>
  <c r="M20" i="10" s="1"/>
  <c r="N20" i="10" s="1"/>
  <c r="E21" i="10"/>
  <c r="F21" i="10" s="1"/>
  <c r="G21" i="10" s="1"/>
  <c r="H21" i="10" s="1"/>
  <c r="I21" i="10" s="1"/>
  <c r="J21" i="10" s="1"/>
  <c r="K21" i="10" s="1"/>
  <c r="L21" i="10" s="1"/>
  <c r="M21" i="10" s="1"/>
  <c r="N21" i="10" s="1"/>
  <c r="E22" i="10"/>
  <c r="F22" i="10" s="1"/>
  <c r="G22" i="10" s="1"/>
  <c r="H22" i="10" s="1"/>
  <c r="I22" i="10" s="1"/>
  <c r="J22" i="10" s="1"/>
  <c r="K22" i="10" s="1"/>
  <c r="L22" i="10" s="1"/>
  <c r="M22" i="10" s="1"/>
  <c r="N22" i="10" s="1"/>
  <c r="E23" i="10"/>
  <c r="F23" i="10" s="1"/>
  <c r="G23" i="10" s="1"/>
  <c r="H23" i="10" s="1"/>
  <c r="I23" i="10" s="1"/>
  <c r="J23" i="10" s="1"/>
  <c r="K23" i="10" s="1"/>
  <c r="L23" i="10" s="1"/>
  <c r="M23" i="10" s="1"/>
  <c r="N23" i="10" s="1"/>
  <c r="E24" i="10"/>
  <c r="F24" i="10" s="1"/>
  <c r="G24" i="10" s="1"/>
  <c r="H24" i="10" s="1"/>
  <c r="I24" i="10" s="1"/>
  <c r="J24" i="10" s="1"/>
  <c r="K24" i="10" s="1"/>
  <c r="L24" i="10" s="1"/>
  <c r="M24" i="10" s="1"/>
  <c r="N24" i="10" s="1"/>
  <c r="E25" i="10"/>
  <c r="F25" i="10" s="1"/>
  <c r="G25" i="10" s="1"/>
  <c r="H25" i="10" s="1"/>
  <c r="I25" i="10" s="1"/>
  <c r="J25" i="10" s="1"/>
  <c r="K25" i="10" s="1"/>
  <c r="L25" i="10" s="1"/>
  <c r="M25" i="10" s="1"/>
  <c r="N25" i="10" s="1"/>
  <c r="E26" i="10"/>
  <c r="F26" i="10" s="1"/>
  <c r="G26" i="10" s="1"/>
  <c r="H26" i="10" s="1"/>
  <c r="I26" i="10" s="1"/>
  <c r="J26" i="10" s="1"/>
  <c r="K26" i="10" s="1"/>
  <c r="L26" i="10" s="1"/>
  <c r="M26" i="10" s="1"/>
  <c r="N26" i="10" s="1"/>
  <c r="E27" i="10"/>
  <c r="F27" i="10" s="1"/>
  <c r="G27" i="10" s="1"/>
  <c r="H27" i="10" s="1"/>
  <c r="I27" i="10" s="1"/>
  <c r="J27" i="10" s="1"/>
  <c r="K27" i="10" s="1"/>
  <c r="L27" i="10" s="1"/>
  <c r="M27" i="10" s="1"/>
  <c r="N27" i="10" s="1"/>
  <c r="E28" i="10"/>
  <c r="F28" i="10" s="1"/>
  <c r="G28" i="10" s="1"/>
  <c r="H28" i="10" s="1"/>
  <c r="I28" i="10" s="1"/>
  <c r="J28" i="10" s="1"/>
  <c r="K28" i="10" s="1"/>
  <c r="L28" i="10" s="1"/>
  <c r="M28" i="10" s="1"/>
  <c r="N28" i="10" s="1"/>
  <c r="E29" i="10"/>
  <c r="F29" i="10" s="1"/>
  <c r="G29" i="10" s="1"/>
  <c r="H29" i="10" s="1"/>
  <c r="I29" i="10" s="1"/>
  <c r="J29" i="10" s="1"/>
  <c r="K29" i="10" s="1"/>
  <c r="L29" i="10" s="1"/>
  <c r="M29" i="10" s="1"/>
  <c r="N29" i="10" s="1"/>
  <c r="E30" i="10"/>
  <c r="F30" i="10" s="1"/>
  <c r="G30" i="10" s="1"/>
  <c r="H30" i="10" s="1"/>
  <c r="I30" i="10" s="1"/>
  <c r="J30" i="10" s="1"/>
  <c r="K30" i="10" s="1"/>
  <c r="L30" i="10" s="1"/>
  <c r="M30" i="10" s="1"/>
  <c r="N30" i="10" s="1"/>
  <c r="E31" i="10"/>
  <c r="F31" i="10" s="1"/>
  <c r="G31" i="10" s="1"/>
  <c r="H31" i="10" s="1"/>
  <c r="I31" i="10" s="1"/>
  <c r="J31" i="10" s="1"/>
  <c r="K31" i="10" s="1"/>
  <c r="L31" i="10" s="1"/>
  <c r="M31" i="10" s="1"/>
  <c r="N31" i="10" s="1"/>
  <c r="E32" i="10"/>
  <c r="F32" i="10" s="1"/>
  <c r="G32" i="10" s="1"/>
  <c r="H32" i="10" s="1"/>
  <c r="I32" i="10" s="1"/>
  <c r="J32" i="10" s="1"/>
  <c r="K32" i="10" s="1"/>
  <c r="L32" i="10" s="1"/>
  <c r="M32" i="10" s="1"/>
  <c r="N32" i="10" s="1"/>
  <c r="E33" i="10"/>
  <c r="F33" i="10" s="1"/>
  <c r="G33" i="10" s="1"/>
  <c r="H33" i="10" s="1"/>
  <c r="I33" i="10" s="1"/>
  <c r="J33" i="10" s="1"/>
  <c r="K33" i="10" s="1"/>
  <c r="L33" i="10" s="1"/>
  <c r="M33" i="10" s="1"/>
  <c r="N33" i="10" s="1"/>
  <c r="E34" i="10"/>
  <c r="F34" i="10" s="1"/>
  <c r="G34" i="10" s="1"/>
  <c r="H34" i="10" s="1"/>
  <c r="I34" i="10" s="1"/>
  <c r="J34" i="10" s="1"/>
  <c r="K34" i="10" s="1"/>
  <c r="L34" i="10" s="1"/>
  <c r="M34" i="10" s="1"/>
  <c r="N34" i="10" s="1"/>
  <c r="E35" i="10"/>
  <c r="F35" i="10" s="1"/>
  <c r="G35" i="10" s="1"/>
  <c r="H35" i="10" s="1"/>
  <c r="I35" i="10" s="1"/>
  <c r="J35" i="10" s="1"/>
  <c r="K35" i="10" s="1"/>
  <c r="L35" i="10" s="1"/>
  <c r="M35" i="10" s="1"/>
  <c r="N35" i="10" s="1"/>
  <c r="E36" i="10"/>
  <c r="F36" i="10" s="1"/>
  <c r="G36" i="10" s="1"/>
  <c r="H36" i="10" s="1"/>
  <c r="I36" i="10" s="1"/>
  <c r="J36" i="10" s="1"/>
  <c r="K36" i="10" s="1"/>
  <c r="L36" i="10" s="1"/>
  <c r="M36" i="10" s="1"/>
  <c r="N36" i="10" s="1"/>
  <c r="E37" i="10"/>
  <c r="F37" i="10" s="1"/>
  <c r="G37" i="10" s="1"/>
  <c r="H37" i="10" s="1"/>
  <c r="I37" i="10" s="1"/>
  <c r="J37" i="10" s="1"/>
  <c r="K37" i="10" s="1"/>
  <c r="L37" i="10" s="1"/>
  <c r="M37" i="10" s="1"/>
  <c r="N37" i="10" s="1"/>
  <c r="E38" i="10"/>
  <c r="F38" i="10" s="1"/>
  <c r="G38" i="10" s="1"/>
  <c r="H38" i="10" s="1"/>
  <c r="I38" i="10" s="1"/>
  <c r="J38" i="10" s="1"/>
  <c r="K38" i="10" s="1"/>
  <c r="L38" i="10" s="1"/>
  <c r="M38" i="10" s="1"/>
  <c r="N38" i="10" s="1"/>
  <c r="E39" i="10"/>
  <c r="F39" i="10" s="1"/>
  <c r="G39" i="10" s="1"/>
  <c r="H39" i="10" s="1"/>
  <c r="I39" i="10" s="1"/>
  <c r="J39" i="10" s="1"/>
  <c r="K39" i="10" s="1"/>
  <c r="L39" i="10" s="1"/>
  <c r="M39" i="10" s="1"/>
  <c r="N39" i="10" s="1"/>
  <c r="E40" i="10"/>
  <c r="F40" i="10" s="1"/>
  <c r="G40" i="10" s="1"/>
  <c r="H40" i="10" s="1"/>
  <c r="I40" i="10" s="1"/>
  <c r="J40" i="10" s="1"/>
  <c r="K40" i="10" s="1"/>
  <c r="L40" i="10" s="1"/>
  <c r="M40" i="10" s="1"/>
  <c r="N40" i="10" s="1"/>
  <c r="E41" i="10"/>
  <c r="F41" i="10" s="1"/>
  <c r="G41" i="10" s="1"/>
  <c r="H41" i="10" s="1"/>
  <c r="I41" i="10" s="1"/>
  <c r="J41" i="10" s="1"/>
  <c r="K41" i="10" s="1"/>
  <c r="L41" i="10" s="1"/>
  <c r="M41" i="10" s="1"/>
  <c r="N41" i="10" s="1"/>
  <c r="E42" i="10"/>
  <c r="F42" i="10" s="1"/>
  <c r="G42" i="10" s="1"/>
  <c r="H42" i="10" s="1"/>
  <c r="I42" i="10" s="1"/>
  <c r="J42" i="10" s="1"/>
  <c r="K42" i="10" s="1"/>
  <c r="L42" i="10" s="1"/>
  <c r="M42" i="10" s="1"/>
  <c r="N42" i="10" s="1"/>
  <c r="E43" i="10"/>
  <c r="F43" i="10" s="1"/>
  <c r="G43" i="10" s="1"/>
  <c r="H43" i="10" s="1"/>
  <c r="I43" i="10" s="1"/>
  <c r="J43" i="10" s="1"/>
  <c r="K43" i="10" s="1"/>
  <c r="L43" i="10" s="1"/>
  <c r="M43" i="10" s="1"/>
  <c r="N43" i="10" s="1"/>
  <c r="E44" i="10"/>
  <c r="F44" i="10" s="1"/>
  <c r="G44" i="10" s="1"/>
  <c r="H44" i="10" s="1"/>
  <c r="I44" i="10" s="1"/>
  <c r="J44" i="10" s="1"/>
  <c r="K44" i="10" s="1"/>
  <c r="L44" i="10" s="1"/>
  <c r="M44" i="10" s="1"/>
  <c r="N44" i="10" s="1"/>
  <c r="E45" i="10"/>
  <c r="F45" i="10" s="1"/>
  <c r="G45" i="10" s="1"/>
  <c r="H45" i="10" s="1"/>
  <c r="I45" i="10" s="1"/>
  <c r="J45" i="10" s="1"/>
  <c r="K45" i="10" s="1"/>
  <c r="L45" i="10" s="1"/>
  <c r="M45" i="10" s="1"/>
  <c r="N45" i="10" s="1"/>
  <c r="E46" i="10"/>
  <c r="F46" i="10" s="1"/>
  <c r="G46" i="10" s="1"/>
  <c r="H46" i="10" s="1"/>
  <c r="I46" i="10" s="1"/>
  <c r="J46" i="10" s="1"/>
  <c r="K46" i="10" s="1"/>
  <c r="L46" i="10" s="1"/>
  <c r="M46" i="10" s="1"/>
  <c r="N46" i="10" s="1"/>
  <c r="E47" i="10"/>
  <c r="F47" i="10" s="1"/>
  <c r="G47" i="10" s="1"/>
  <c r="H47" i="10" s="1"/>
  <c r="I47" i="10" s="1"/>
  <c r="J47" i="10" s="1"/>
  <c r="K47" i="10" s="1"/>
  <c r="L47" i="10" s="1"/>
  <c r="M47" i="10" s="1"/>
  <c r="N47" i="10" s="1"/>
  <c r="E48" i="10"/>
  <c r="F48" i="10" s="1"/>
  <c r="G48" i="10" s="1"/>
  <c r="H48" i="10" s="1"/>
  <c r="I48" i="10" s="1"/>
  <c r="J48" i="10" s="1"/>
  <c r="K48" i="10" s="1"/>
  <c r="L48" i="10" s="1"/>
  <c r="M48" i="10" s="1"/>
  <c r="N48" i="10" s="1"/>
  <c r="E49" i="10"/>
  <c r="F49" i="10" s="1"/>
  <c r="G49" i="10" s="1"/>
  <c r="H49" i="10" s="1"/>
  <c r="I49" i="10" s="1"/>
  <c r="J49" i="10" s="1"/>
  <c r="K49" i="10" s="1"/>
  <c r="L49" i="10" s="1"/>
  <c r="M49" i="10" s="1"/>
  <c r="N49" i="10" s="1"/>
  <c r="E50" i="10"/>
  <c r="F50" i="10" s="1"/>
  <c r="G50" i="10" s="1"/>
  <c r="H50" i="10" s="1"/>
  <c r="I50" i="10" s="1"/>
  <c r="J50" i="10" s="1"/>
  <c r="K50" i="10" s="1"/>
  <c r="L50" i="10" s="1"/>
  <c r="M50" i="10" s="1"/>
  <c r="N50" i="10" s="1"/>
  <c r="E51" i="10"/>
  <c r="F51" i="10" s="1"/>
  <c r="G51" i="10" s="1"/>
  <c r="H51" i="10" s="1"/>
  <c r="I51" i="10" s="1"/>
  <c r="J51" i="10" s="1"/>
  <c r="K51" i="10" s="1"/>
  <c r="L51" i="10" s="1"/>
  <c r="M51" i="10" s="1"/>
  <c r="N51" i="10" s="1"/>
  <c r="E52" i="10"/>
  <c r="F52" i="10" s="1"/>
  <c r="G52" i="10" s="1"/>
  <c r="H52" i="10" s="1"/>
  <c r="I52" i="10" s="1"/>
  <c r="J52" i="10" s="1"/>
  <c r="K52" i="10" s="1"/>
  <c r="L52" i="10" s="1"/>
  <c r="M52" i="10" s="1"/>
  <c r="N52" i="10" s="1"/>
  <c r="E53" i="10"/>
  <c r="F53" i="10" s="1"/>
  <c r="G53" i="10" s="1"/>
  <c r="H53" i="10" s="1"/>
  <c r="I53" i="10" s="1"/>
  <c r="J53" i="10" s="1"/>
  <c r="K53" i="10" s="1"/>
  <c r="L53" i="10" s="1"/>
  <c r="M53" i="10" s="1"/>
  <c r="N53" i="10" s="1"/>
  <c r="E54" i="10"/>
  <c r="F54" i="10" s="1"/>
  <c r="G54" i="10" s="1"/>
  <c r="H54" i="10" s="1"/>
  <c r="I54" i="10" s="1"/>
  <c r="J54" i="10" s="1"/>
  <c r="K54" i="10" s="1"/>
  <c r="L54" i="10" s="1"/>
  <c r="M54" i="10" s="1"/>
  <c r="N54" i="10" s="1"/>
  <c r="E55" i="10"/>
  <c r="F55" i="10" s="1"/>
  <c r="G55" i="10" s="1"/>
  <c r="H55" i="10" s="1"/>
  <c r="I55" i="10" s="1"/>
  <c r="J55" i="10" s="1"/>
  <c r="K55" i="10" s="1"/>
  <c r="L55" i="10" s="1"/>
  <c r="M55" i="10" s="1"/>
  <c r="N55" i="10" s="1"/>
  <c r="E56" i="10"/>
  <c r="F56" i="10" s="1"/>
  <c r="G56" i="10" s="1"/>
  <c r="H56" i="10" s="1"/>
  <c r="I56" i="10" s="1"/>
  <c r="J56" i="10" s="1"/>
  <c r="K56" i="10" s="1"/>
  <c r="L56" i="10" s="1"/>
  <c r="M56" i="10" s="1"/>
  <c r="N56" i="10" s="1"/>
  <c r="E57" i="10"/>
  <c r="F57" i="10" s="1"/>
  <c r="G57" i="10" s="1"/>
  <c r="H57" i="10" s="1"/>
  <c r="I57" i="10" s="1"/>
  <c r="J57" i="10" s="1"/>
  <c r="K57" i="10" s="1"/>
  <c r="L57" i="10" s="1"/>
  <c r="M57" i="10" s="1"/>
  <c r="N57" i="10" s="1"/>
  <c r="E58" i="10"/>
  <c r="F58" i="10" s="1"/>
  <c r="G58" i="10" s="1"/>
  <c r="H58" i="10" s="1"/>
  <c r="I58" i="10" s="1"/>
  <c r="J58" i="10" s="1"/>
  <c r="K58" i="10" s="1"/>
  <c r="L58" i="10" s="1"/>
  <c r="M58" i="10" s="1"/>
  <c r="N58" i="10" s="1"/>
  <c r="E11" i="10"/>
  <c r="F11" i="10" s="1"/>
  <c r="G11" i="10" s="1"/>
  <c r="H11" i="10" s="1"/>
  <c r="I11" i="10" s="1"/>
  <c r="J11" i="10" s="1"/>
  <c r="K11" i="10" s="1"/>
  <c r="L11" i="10" s="1"/>
  <c r="M11" i="10" s="1"/>
  <c r="N11" i="10" s="1"/>
  <c r="J14" i="10" l="1"/>
  <c r="K14" i="10" s="1"/>
  <c r="L14" i="10" s="1"/>
  <c r="M14" i="10" s="1"/>
  <c r="N14" i="10" s="1"/>
  <c r="E24" i="5"/>
  <c r="D24" i="5"/>
  <c r="AD66" i="3"/>
  <c r="AC66" i="3"/>
  <c r="AB66" i="3"/>
  <c r="AA66" i="3"/>
  <c r="Z66" i="3"/>
  <c r="AE66" i="3" l="1"/>
  <c r="D54" i="4" s="1"/>
  <c r="F56" i="7"/>
  <c r="F54" i="7"/>
  <c r="F51" i="7"/>
  <c r="F45" i="7"/>
  <c r="F41" i="7"/>
  <c r="F40" i="7"/>
  <c r="F39" i="7"/>
  <c r="F38" i="7"/>
  <c r="F12" i="7"/>
  <c r="F15" i="7"/>
  <c r="F17" i="7"/>
  <c r="F18" i="7"/>
  <c r="F29" i="7"/>
  <c r="F30" i="7"/>
  <c r="F31" i="7"/>
  <c r="F32" i="7"/>
  <c r="F33" i="7"/>
  <c r="F35" i="7"/>
  <c r="AD65" i="3"/>
  <c r="AC65" i="3"/>
  <c r="AB65" i="3"/>
  <c r="AA65" i="3"/>
  <c r="Z65" i="3"/>
  <c r="AD64" i="3"/>
  <c r="AC64" i="3"/>
  <c r="AB64" i="3"/>
  <c r="AA64" i="3"/>
  <c r="Z64" i="3"/>
  <c r="AD63" i="3"/>
  <c r="AC63" i="3"/>
  <c r="AB63" i="3"/>
  <c r="AA63" i="3"/>
  <c r="Z63" i="3"/>
  <c r="AD62" i="3"/>
  <c r="AC62" i="3"/>
  <c r="AB62" i="3"/>
  <c r="AA62" i="3"/>
  <c r="Z62" i="3"/>
  <c r="AD61" i="3"/>
  <c r="AC61" i="3"/>
  <c r="AB61" i="3"/>
  <c r="AA61" i="3"/>
  <c r="Z61" i="3"/>
  <c r="AD60" i="3"/>
  <c r="AC60" i="3"/>
  <c r="AB60" i="3"/>
  <c r="AA60" i="3"/>
  <c r="Z60" i="3"/>
  <c r="AD59" i="3"/>
  <c r="AC59" i="3"/>
  <c r="AB59" i="3"/>
  <c r="AA59" i="3"/>
  <c r="Z59" i="3"/>
  <c r="AD58" i="3"/>
  <c r="AC58" i="3"/>
  <c r="AB58" i="3"/>
  <c r="AA58" i="3"/>
  <c r="Z58" i="3"/>
  <c r="AD57" i="3"/>
  <c r="AC57" i="3"/>
  <c r="AB57" i="3"/>
  <c r="AA57" i="3"/>
  <c r="Z57" i="3"/>
  <c r="AD56" i="3"/>
  <c r="AC56" i="3"/>
  <c r="AB56" i="3"/>
  <c r="AA56" i="3"/>
  <c r="Z56" i="3"/>
  <c r="AD55" i="3"/>
  <c r="AC55" i="3"/>
  <c r="AB55" i="3"/>
  <c r="AA55" i="3"/>
  <c r="Z55" i="3"/>
  <c r="AD54" i="3"/>
  <c r="AC54" i="3"/>
  <c r="AB54" i="3"/>
  <c r="AA54" i="3"/>
  <c r="Z54" i="3"/>
  <c r="AD53" i="3"/>
  <c r="AC53" i="3"/>
  <c r="AB53" i="3"/>
  <c r="AA53" i="3"/>
  <c r="Z53" i="3"/>
  <c r="AD47" i="3"/>
  <c r="AC47" i="3"/>
  <c r="AB47" i="3"/>
  <c r="AA47" i="3"/>
  <c r="Z47" i="3"/>
  <c r="AD46" i="3"/>
  <c r="AC46" i="3"/>
  <c r="AB46" i="3"/>
  <c r="AA46" i="3"/>
  <c r="Z46" i="3"/>
  <c r="AD45" i="3"/>
  <c r="AC45" i="3"/>
  <c r="AB45" i="3"/>
  <c r="AA45" i="3"/>
  <c r="Z45" i="3"/>
  <c r="AD44" i="3"/>
  <c r="AC44" i="3"/>
  <c r="AB44" i="3"/>
  <c r="AA44" i="3"/>
  <c r="Z44" i="3"/>
  <c r="AD43" i="3"/>
  <c r="AC43" i="3"/>
  <c r="AB43" i="3"/>
  <c r="AA43" i="3"/>
  <c r="Z43" i="3"/>
  <c r="AD42" i="3"/>
  <c r="AC42" i="3"/>
  <c r="AB42" i="3"/>
  <c r="AA42" i="3"/>
  <c r="Z42" i="3"/>
  <c r="AD41" i="3"/>
  <c r="AC41" i="3"/>
  <c r="AB41" i="3"/>
  <c r="AA41" i="3"/>
  <c r="Z41" i="3"/>
  <c r="AD40" i="3"/>
  <c r="AC40" i="3"/>
  <c r="AB40" i="3"/>
  <c r="AA40" i="3"/>
  <c r="Z40" i="3"/>
  <c r="AD39" i="3"/>
  <c r="AC39" i="3"/>
  <c r="AB39" i="3"/>
  <c r="AA39" i="3"/>
  <c r="Z39" i="3"/>
  <c r="AD38" i="3"/>
  <c r="AC38" i="3"/>
  <c r="AB38" i="3"/>
  <c r="AA38" i="3"/>
  <c r="Z38" i="3"/>
  <c r="AD37" i="3"/>
  <c r="AC37" i="3"/>
  <c r="AB37" i="3"/>
  <c r="AA37" i="3"/>
  <c r="Z37" i="3"/>
  <c r="AD36" i="3"/>
  <c r="AC36" i="3"/>
  <c r="AB36" i="3"/>
  <c r="AA36" i="3"/>
  <c r="Z36" i="3"/>
  <c r="AD35" i="3"/>
  <c r="AC35" i="3"/>
  <c r="AB35" i="3"/>
  <c r="AA35" i="3"/>
  <c r="Z35" i="3"/>
  <c r="AD34" i="3"/>
  <c r="AC34" i="3"/>
  <c r="AB34" i="3"/>
  <c r="AA34" i="3"/>
  <c r="Z34" i="3"/>
  <c r="AD33" i="3"/>
  <c r="AC33" i="3"/>
  <c r="AB33" i="3"/>
  <c r="AA33" i="3"/>
  <c r="Z33" i="3"/>
  <c r="AD32" i="3"/>
  <c r="AC32" i="3"/>
  <c r="AB32" i="3"/>
  <c r="AA32" i="3"/>
  <c r="Z32" i="3"/>
  <c r="AD31" i="3"/>
  <c r="AC31" i="3"/>
  <c r="AB31" i="3"/>
  <c r="AA31" i="3"/>
  <c r="Z31" i="3"/>
  <c r="AD30" i="3"/>
  <c r="AC30" i="3"/>
  <c r="AB30" i="3"/>
  <c r="AA30" i="3"/>
  <c r="Z30" i="3"/>
  <c r="AD29" i="3"/>
  <c r="AC29" i="3"/>
  <c r="AB29" i="3"/>
  <c r="AA29" i="3"/>
  <c r="Z29" i="3"/>
  <c r="AD28" i="3"/>
  <c r="AC28" i="3"/>
  <c r="AB28" i="3"/>
  <c r="AA28" i="3"/>
  <c r="Z28" i="3"/>
  <c r="AD27" i="3"/>
  <c r="AC27" i="3"/>
  <c r="AB27" i="3"/>
  <c r="AA27" i="3"/>
  <c r="Z27" i="3"/>
  <c r="AD26" i="3"/>
  <c r="AC26" i="3"/>
  <c r="AB26" i="3"/>
  <c r="AA26" i="3"/>
  <c r="Z26" i="3"/>
  <c r="AD25" i="3"/>
  <c r="AC25" i="3"/>
  <c r="AB25" i="3"/>
  <c r="AA25" i="3"/>
  <c r="Z25" i="3"/>
  <c r="AD24" i="3"/>
  <c r="AC24" i="3"/>
  <c r="AB24" i="3"/>
  <c r="AA24" i="3"/>
  <c r="Z24" i="3"/>
  <c r="AD23" i="3"/>
  <c r="AC23" i="3"/>
  <c r="AB23" i="3"/>
  <c r="AA23" i="3"/>
  <c r="Z23" i="3"/>
  <c r="AD22" i="3"/>
  <c r="AC22" i="3"/>
  <c r="AB22" i="3"/>
  <c r="AA22" i="3"/>
  <c r="Z22" i="3"/>
  <c r="AD21" i="3"/>
  <c r="AC21" i="3"/>
  <c r="AB21" i="3"/>
  <c r="AA21" i="3"/>
  <c r="Z21" i="3"/>
  <c r="AD20" i="3"/>
  <c r="AC20" i="3"/>
  <c r="AB20" i="3"/>
  <c r="AA20" i="3"/>
  <c r="Z20" i="3"/>
  <c r="Z19" i="3"/>
  <c r="AD19" i="3"/>
  <c r="AC19" i="3"/>
  <c r="AB19" i="3"/>
  <c r="AA19" i="3"/>
  <c r="AD18" i="3"/>
  <c r="AC18" i="3"/>
  <c r="AB18" i="3"/>
  <c r="AA18" i="3"/>
  <c r="Z18" i="3"/>
  <c r="AD14" i="3"/>
  <c r="AC16" i="3"/>
  <c r="AB16" i="3"/>
  <c r="AA16" i="3"/>
  <c r="Z16" i="3"/>
  <c r="AD15" i="3"/>
  <c r="AC15" i="3"/>
  <c r="AB15" i="3"/>
  <c r="AA15" i="3"/>
  <c r="Z15" i="3"/>
  <c r="AD16" i="3"/>
  <c r="Z17" i="3"/>
  <c r="AA17" i="3"/>
  <c r="AB17" i="3"/>
  <c r="AC17" i="3"/>
  <c r="AD17" i="3"/>
  <c r="AD13" i="3"/>
  <c r="AC13" i="3"/>
  <c r="AB13" i="3"/>
  <c r="AA13" i="3"/>
  <c r="AC14" i="3"/>
  <c r="AB14" i="3"/>
  <c r="AA14" i="3"/>
  <c r="Z14" i="3"/>
  <c r="Z13" i="3"/>
  <c r="AE59" i="3" l="1"/>
  <c r="D47" i="4" s="1"/>
  <c r="AE65" i="3"/>
  <c r="AE64" i="3"/>
  <c r="D52" i="4" s="1"/>
  <c r="AE63" i="3"/>
  <c r="D51" i="4" s="1"/>
  <c r="AE62" i="3"/>
  <c r="D50" i="4" s="1"/>
  <c r="AE61" i="3"/>
  <c r="D49" i="4" s="1"/>
  <c r="AE60" i="3"/>
  <c r="D48" i="4" s="1"/>
  <c r="AE58" i="3"/>
  <c r="D46" i="4" s="1"/>
  <c r="AE57" i="3"/>
  <c r="D45" i="4" s="1"/>
  <c r="AE56" i="3"/>
  <c r="D44" i="4" s="1"/>
  <c r="AE55" i="3"/>
  <c r="D43" i="4" s="1"/>
  <c r="AE54" i="3"/>
  <c r="D42" i="4" s="1"/>
  <c r="AE53" i="3"/>
  <c r="D41" i="4" s="1"/>
  <c r="AE47" i="3"/>
  <c r="D40" i="4" s="1"/>
  <c r="AE46" i="3"/>
  <c r="D39" i="4" s="1"/>
  <c r="AE45" i="3"/>
  <c r="D38" i="4" s="1"/>
  <c r="AE44" i="3"/>
  <c r="D37" i="4" s="1"/>
  <c r="AE43" i="3"/>
  <c r="D36" i="4" s="1"/>
  <c r="AE42" i="3"/>
  <c r="D35" i="4" s="1"/>
  <c r="AE41" i="3"/>
  <c r="D34" i="4" s="1"/>
  <c r="AE40" i="3"/>
  <c r="D33" i="4" s="1"/>
  <c r="AE39" i="3"/>
  <c r="D32" i="4" s="1"/>
  <c r="AE38" i="3"/>
  <c r="D31" i="4" s="1"/>
  <c r="AE37" i="3"/>
  <c r="D30" i="4" s="1"/>
  <c r="AE36" i="3"/>
  <c r="D29" i="4" s="1"/>
  <c r="AE35" i="3"/>
  <c r="D28" i="4" s="1"/>
  <c r="AE34" i="3"/>
  <c r="D27" i="4" s="1"/>
  <c r="AE33" i="3"/>
  <c r="D26" i="4" s="1"/>
  <c r="AE32" i="3"/>
  <c r="D25" i="4" s="1"/>
  <c r="AE31" i="3"/>
  <c r="D24" i="4" s="1"/>
  <c r="AE30" i="3"/>
  <c r="D23" i="4" s="1"/>
  <c r="AE29" i="3"/>
  <c r="D22" i="4" s="1"/>
  <c r="AE28" i="3"/>
  <c r="D21" i="4" s="1"/>
  <c r="AE27" i="3"/>
  <c r="D20" i="4" s="1"/>
  <c r="AE26" i="3"/>
  <c r="D19" i="4" s="1"/>
  <c r="AE25" i="3"/>
  <c r="D18" i="4" s="1"/>
  <c r="AE24" i="3"/>
  <c r="D17" i="4" s="1"/>
  <c r="AE23" i="3"/>
  <c r="D16" i="4" s="1"/>
  <c r="AE22" i="3"/>
  <c r="D15" i="4" s="1"/>
  <c r="AE21" i="3"/>
  <c r="D14" i="4" s="1"/>
  <c r="AE20" i="3"/>
  <c r="D13" i="4" s="1"/>
  <c r="AE19" i="3"/>
  <c r="D12" i="4" s="1"/>
  <c r="AE18" i="3"/>
  <c r="D11" i="4" s="1"/>
  <c r="AE16" i="3"/>
  <c r="D8" i="4" s="1"/>
  <c r="AE15" i="3"/>
  <c r="D7" i="4" s="1"/>
  <c r="AE17" i="3"/>
  <c r="AE14" i="3"/>
  <c r="D9" i="4" s="1"/>
  <c r="AE13" i="3"/>
  <c r="D10" i="4" s="1"/>
  <c r="D28" i="6"/>
  <c r="E28" i="6" s="1"/>
  <c r="F28" i="6" s="1"/>
  <c r="G28" i="6" s="1"/>
  <c r="H28" i="6" s="1"/>
  <c r="I28" i="6" s="1"/>
  <c r="J28" i="6" s="1"/>
  <c r="D15" i="6"/>
  <c r="E15" i="6" s="1"/>
  <c r="F15" i="6" s="1"/>
  <c r="D16" i="6"/>
  <c r="E16" i="6" s="1"/>
  <c r="D24" i="6"/>
  <c r="E24" i="6" s="1"/>
  <c r="D11" i="6"/>
  <c r="E11" i="6" s="1"/>
  <c r="D10" i="6"/>
  <c r="E10" i="6" s="1"/>
  <c r="F10" i="6" s="1"/>
  <c r="D18" i="5"/>
  <c r="D18" i="6" s="1"/>
  <c r="E33" i="5"/>
  <c r="D33" i="5"/>
  <c r="D33" i="6" s="1"/>
  <c r="E32" i="5"/>
  <c r="D32" i="5"/>
  <c r="K28" i="5"/>
  <c r="E27" i="5"/>
  <c r="D27" i="5"/>
  <c r="K127" i="1"/>
  <c r="G26" i="5" s="1"/>
  <c r="E26" i="5"/>
  <c r="D26" i="5"/>
  <c r="D26" i="6" s="1"/>
  <c r="E25" i="5"/>
  <c r="D25" i="5"/>
  <c r="E23" i="5"/>
  <c r="E26" i="6" l="1"/>
  <c r="E33" i="6"/>
  <c r="D32" i="6"/>
  <c r="E32" i="6" s="1"/>
  <c r="D25" i="6"/>
  <c r="E25" i="6" s="1"/>
  <c r="D27" i="6"/>
  <c r="E27" i="6" s="1"/>
  <c r="D23" i="5"/>
  <c r="E22" i="5"/>
  <c r="D22" i="5"/>
  <c r="E21" i="5"/>
  <c r="D21" i="5"/>
  <c r="E20" i="5"/>
  <c r="D20" i="5"/>
  <c r="J19" i="5"/>
  <c r="E18" i="5"/>
  <c r="E18" i="6" s="1"/>
  <c r="G16" i="5"/>
  <c r="F16" i="5"/>
  <c r="K15" i="5"/>
  <c r="E14" i="5"/>
  <c r="D14" i="5"/>
  <c r="D14" i="6" s="1"/>
  <c r="E13" i="5"/>
  <c r="D13" i="5"/>
  <c r="D13" i="6" s="1"/>
  <c r="D12" i="5"/>
  <c r="D12" i="6" s="1"/>
  <c r="F11" i="5"/>
  <c r="K11" i="5" s="1"/>
  <c r="G10" i="5"/>
  <c r="G10" i="6" s="1"/>
  <c r="H10" i="6" s="1"/>
  <c r="I10" i="6" s="1"/>
  <c r="J10" i="6" s="1"/>
  <c r="E14" i="6" l="1"/>
  <c r="D20" i="6"/>
  <c r="E20" i="6" s="1"/>
  <c r="D23" i="6"/>
  <c r="E23" i="6" s="1"/>
  <c r="D22" i="6"/>
  <c r="E22" i="6" s="1"/>
  <c r="E13" i="6"/>
  <c r="D21" i="6"/>
  <c r="E21" i="6" s="1"/>
  <c r="G15" i="6"/>
  <c r="H15" i="6" s="1"/>
  <c r="I15" i="6" s="1"/>
  <c r="J15" i="6" s="1"/>
  <c r="K16" i="5"/>
  <c r="K10" i="5"/>
  <c r="F16" i="6"/>
  <c r="G16" i="6" s="1"/>
  <c r="H16" i="6" s="1"/>
  <c r="I16" i="6" s="1"/>
  <c r="J16" i="6" s="1"/>
  <c r="F11" i="6"/>
  <c r="G11" i="6" s="1"/>
  <c r="H11" i="6" s="1"/>
  <c r="I11" i="6" s="1"/>
  <c r="J11" i="6" s="1"/>
  <c r="D9" i="5"/>
  <c r="H13" i="1"/>
  <c r="H33" i="1"/>
  <c r="H32" i="1" s="1"/>
  <c r="I33" i="1"/>
  <c r="F12" i="5" s="1"/>
  <c r="J33" i="1"/>
  <c r="J32" i="1" s="1"/>
  <c r="K33" i="1"/>
  <c r="G12" i="5" s="1"/>
  <c r="L33" i="1"/>
  <c r="L32" i="1" s="1"/>
  <c r="M33" i="1"/>
  <c r="H12" i="5" s="1"/>
  <c r="N33" i="1"/>
  <c r="N32" i="1" s="1"/>
  <c r="O33" i="1"/>
  <c r="I12" i="5" s="1"/>
  <c r="P33" i="1"/>
  <c r="P32" i="1" s="1"/>
  <c r="Q33" i="1"/>
  <c r="J12" i="5" s="1"/>
  <c r="G33" i="1"/>
  <c r="E12" i="5" s="1"/>
  <c r="G80" i="1"/>
  <c r="G79" i="1" s="1"/>
  <c r="G67" i="1" s="1"/>
  <c r="S189" i="1"/>
  <c r="R189" i="1"/>
  <c r="S188" i="1"/>
  <c r="R188" i="1"/>
  <c r="S187" i="1"/>
  <c r="R187" i="1"/>
  <c r="S186" i="1"/>
  <c r="R186" i="1"/>
  <c r="S185" i="1"/>
  <c r="R185" i="1"/>
  <c r="S184" i="1"/>
  <c r="R184" i="1"/>
  <c r="Q183" i="1"/>
  <c r="J34" i="5" s="1"/>
  <c r="P183" i="1"/>
  <c r="P182" i="1" s="1"/>
  <c r="O183" i="1"/>
  <c r="N183" i="1"/>
  <c r="N182" i="1" s="1"/>
  <c r="M183" i="1"/>
  <c r="H34" i="5" s="1"/>
  <c r="L183" i="1"/>
  <c r="L182" i="1" s="1"/>
  <c r="K183" i="1"/>
  <c r="J183" i="1"/>
  <c r="J182" i="1" s="1"/>
  <c r="I183" i="1"/>
  <c r="F34" i="5" s="1"/>
  <c r="H183" i="1"/>
  <c r="H182" i="1" s="1"/>
  <c r="G183" i="1"/>
  <c r="E34" i="5" s="1"/>
  <c r="F183" i="1"/>
  <c r="E183" i="1"/>
  <c r="D34" i="5" s="1"/>
  <c r="D183" i="1"/>
  <c r="S180" i="1"/>
  <c r="R180" i="1"/>
  <c r="S179" i="1"/>
  <c r="R179" i="1"/>
  <c r="S177" i="1"/>
  <c r="R177" i="1"/>
  <c r="S176" i="1"/>
  <c r="R176" i="1"/>
  <c r="Q175" i="1"/>
  <c r="P175" i="1"/>
  <c r="P174" i="1" s="1"/>
  <c r="O175" i="1"/>
  <c r="I33" i="5" s="1"/>
  <c r="N175" i="1"/>
  <c r="N174" i="1" s="1"/>
  <c r="M175" i="1"/>
  <c r="L175" i="1"/>
  <c r="L174" i="1" s="1"/>
  <c r="K175" i="1"/>
  <c r="G33" i="5" s="1"/>
  <c r="J175" i="1"/>
  <c r="J174" i="1" s="1"/>
  <c r="I175" i="1"/>
  <c r="F33" i="5" s="1"/>
  <c r="H175" i="1"/>
  <c r="H174" i="1" s="1"/>
  <c r="S173" i="1"/>
  <c r="R173" i="1"/>
  <c r="S172" i="1"/>
  <c r="R172" i="1"/>
  <c r="S171" i="1"/>
  <c r="R171" i="1"/>
  <c r="S170" i="1"/>
  <c r="R170" i="1"/>
  <c r="S169" i="1"/>
  <c r="R169" i="1"/>
  <c r="S168" i="1"/>
  <c r="R168" i="1"/>
  <c r="Q167" i="1"/>
  <c r="J32" i="5" s="1"/>
  <c r="P167" i="1"/>
  <c r="O167" i="1"/>
  <c r="N167" i="1"/>
  <c r="M167" i="1"/>
  <c r="H32" i="5" s="1"/>
  <c r="L167" i="1"/>
  <c r="K167" i="1"/>
  <c r="J167" i="1"/>
  <c r="I167" i="1"/>
  <c r="F32" i="5" s="1"/>
  <c r="F32" i="6" s="1"/>
  <c r="H167" i="1"/>
  <c r="S164" i="1"/>
  <c r="S165" i="1"/>
  <c r="S166" i="1"/>
  <c r="R164" i="1"/>
  <c r="R165" i="1"/>
  <c r="R166" i="1"/>
  <c r="S163" i="1"/>
  <c r="R163" i="1"/>
  <c r="Q162" i="1"/>
  <c r="J31" i="5" s="1"/>
  <c r="P162" i="1"/>
  <c r="O162" i="1"/>
  <c r="I31" i="5" s="1"/>
  <c r="N162" i="1"/>
  <c r="M162" i="1"/>
  <c r="H31" i="5" s="1"/>
  <c r="L162" i="1"/>
  <c r="K162" i="1"/>
  <c r="G31" i="5" s="1"/>
  <c r="J162" i="1"/>
  <c r="I162" i="1"/>
  <c r="F31" i="5" s="1"/>
  <c r="H162" i="1"/>
  <c r="G162" i="1"/>
  <c r="E31" i="5" s="1"/>
  <c r="F162" i="1"/>
  <c r="E162" i="1"/>
  <c r="D31" i="5" s="1"/>
  <c r="D162" i="1"/>
  <c r="S160" i="1"/>
  <c r="R160" i="1"/>
  <c r="S159" i="1"/>
  <c r="R159" i="1"/>
  <c r="S158" i="1"/>
  <c r="R158" i="1"/>
  <c r="S157" i="1"/>
  <c r="R157" i="1"/>
  <c r="S156" i="1"/>
  <c r="R156" i="1"/>
  <c r="S155" i="1"/>
  <c r="R155" i="1"/>
  <c r="Q154" i="1"/>
  <c r="P154" i="1"/>
  <c r="P153" i="1" s="1"/>
  <c r="O154" i="1"/>
  <c r="I30" i="5" s="1"/>
  <c r="N154" i="1"/>
  <c r="N153" i="1" s="1"/>
  <c r="M154" i="1"/>
  <c r="L154" i="1"/>
  <c r="L153" i="1" s="1"/>
  <c r="K154" i="1"/>
  <c r="G30" i="5" s="1"/>
  <c r="J154" i="1"/>
  <c r="I154" i="1"/>
  <c r="F30" i="5" s="1"/>
  <c r="H154" i="1"/>
  <c r="H153" i="1" s="1"/>
  <c r="G154" i="1"/>
  <c r="E30" i="5" s="1"/>
  <c r="F154" i="1"/>
  <c r="F153" i="1" s="1"/>
  <c r="E154" i="1"/>
  <c r="D30" i="5" s="1"/>
  <c r="D154" i="1"/>
  <c r="D153" i="1" s="1"/>
  <c r="O153" i="1"/>
  <c r="J153" i="1"/>
  <c r="I153" i="1"/>
  <c r="S151" i="1"/>
  <c r="N146" i="1"/>
  <c r="N136" i="1" s="1"/>
  <c r="S150" i="1"/>
  <c r="R150" i="1"/>
  <c r="S149" i="1"/>
  <c r="R149" i="1"/>
  <c r="S148" i="1"/>
  <c r="R148" i="1"/>
  <c r="S147" i="1"/>
  <c r="R147" i="1"/>
  <c r="Q146" i="1"/>
  <c r="J29" i="5" s="1"/>
  <c r="P146" i="1"/>
  <c r="P136" i="1" s="1"/>
  <c r="O146" i="1"/>
  <c r="I29" i="5" s="1"/>
  <c r="M146" i="1"/>
  <c r="H29" i="5" s="1"/>
  <c r="L146" i="1"/>
  <c r="L136" i="1" s="1"/>
  <c r="K146" i="1"/>
  <c r="G29" i="5" s="1"/>
  <c r="J146" i="1"/>
  <c r="J136" i="1" s="1"/>
  <c r="I146" i="1"/>
  <c r="F29" i="5" s="1"/>
  <c r="H146" i="1"/>
  <c r="H136" i="1" s="1"/>
  <c r="G146" i="1"/>
  <c r="E29" i="5" s="1"/>
  <c r="F146" i="1"/>
  <c r="F136" i="1" s="1"/>
  <c r="E146" i="1"/>
  <c r="D29" i="5" s="1"/>
  <c r="D146" i="1"/>
  <c r="D136" i="1" s="1"/>
  <c r="S134" i="1"/>
  <c r="R134" i="1"/>
  <c r="S133" i="1"/>
  <c r="R133" i="1"/>
  <c r="Q132" i="1"/>
  <c r="P132" i="1"/>
  <c r="P131" i="1" s="1"/>
  <c r="O132" i="1"/>
  <c r="I27" i="5" s="1"/>
  <c r="N132" i="1"/>
  <c r="N131" i="1" s="1"/>
  <c r="M132" i="1"/>
  <c r="H27" i="5" s="1"/>
  <c r="L132" i="1"/>
  <c r="L131" i="1" s="1"/>
  <c r="K132" i="1"/>
  <c r="J132" i="1"/>
  <c r="J131" i="1" s="1"/>
  <c r="I132" i="1"/>
  <c r="F27" i="5" s="1"/>
  <c r="H132" i="1"/>
  <c r="H131" i="1" s="1"/>
  <c r="O131" i="1"/>
  <c r="S130" i="1"/>
  <c r="R130" i="1"/>
  <c r="S129" i="1"/>
  <c r="R129" i="1"/>
  <c r="S128" i="1"/>
  <c r="R128" i="1"/>
  <c r="Q127" i="1"/>
  <c r="P127" i="1"/>
  <c r="O127" i="1"/>
  <c r="I26" i="5" s="1"/>
  <c r="N127" i="1"/>
  <c r="M127" i="1"/>
  <c r="H26" i="5" s="1"/>
  <c r="L127" i="1"/>
  <c r="J127" i="1"/>
  <c r="I127" i="1"/>
  <c r="H127" i="1"/>
  <c r="S126" i="1"/>
  <c r="R126" i="1"/>
  <c r="S125" i="1"/>
  <c r="R125" i="1"/>
  <c r="Q124" i="1"/>
  <c r="J25" i="5" s="1"/>
  <c r="P124" i="1"/>
  <c r="O124" i="1"/>
  <c r="N124" i="1"/>
  <c r="M124" i="1"/>
  <c r="H25" i="5" s="1"/>
  <c r="L124" i="1"/>
  <c r="K124" i="1"/>
  <c r="G25" i="5" s="1"/>
  <c r="J124" i="1"/>
  <c r="I124" i="1"/>
  <c r="F25" i="5" s="1"/>
  <c r="F25" i="6" s="1"/>
  <c r="H124" i="1"/>
  <c r="S118" i="1"/>
  <c r="S117" i="1" s="1"/>
  <c r="S116" i="1" s="1"/>
  <c r="S115" i="1" s="1"/>
  <c r="R118" i="1"/>
  <c r="R117" i="1" s="1"/>
  <c r="R116" i="1" s="1"/>
  <c r="R115" i="1" s="1"/>
  <c r="Q117" i="1"/>
  <c r="P117" i="1"/>
  <c r="P116" i="1" s="1"/>
  <c r="P115" i="1" s="1"/>
  <c r="O117" i="1"/>
  <c r="N117" i="1"/>
  <c r="N116" i="1" s="1"/>
  <c r="N115" i="1" s="1"/>
  <c r="M117" i="1"/>
  <c r="L117" i="1"/>
  <c r="L116" i="1" s="1"/>
  <c r="L115" i="1" s="1"/>
  <c r="K117" i="1"/>
  <c r="J117" i="1"/>
  <c r="J116" i="1" s="1"/>
  <c r="J115" i="1" s="1"/>
  <c r="I117" i="1"/>
  <c r="H117" i="1"/>
  <c r="H116" i="1" s="1"/>
  <c r="H115" i="1" s="1"/>
  <c r="S114" i="1"/>
  <c r="R114" i="1"/>
  <c r="S113" i="1"/>
  <c r="R113" i="1"/>
  <c r="S112" i="1"/>
  <c r="R112" i="1"/>
  <c r="S111" i="1"/>
  <c r="R111" i="1"/>
  <c r="S110" i="1"/>
  <c r="R110" i="1"/>
  <c r="S109" i="1"/>
  <c r="R109" i="1"/>
  <c r="S108" i="1"/>
  <c r="R108" i="1"/>
  <c r="S107" i="1"/>
  <c r="R107" i="1"/>
  <c r="S106" i="1"/>
  <c r="R106" i="1"/>
  <c r="S105" i="1"/>
  <c r="R105" i="1"/>
  <c r="Q104" i="1"/>
  <c r="P104" i="1"/>
  <c r="P103" i="1" s="1"/>
  <c r="O104" i="1"/>
  <c r="N104" i="1"/>
  <c r="N103" i="1" s="1"/>
  <c r="M104" i="1"/>
  <c r="L104" i="1"/>
  <c r="L103" i="1" s="1"/>
  <c r="K104" i="1"/>
  <c r="J104" i="1"/>
  <c r="J103" i="1" s="1"/>
  <c r="I104" i="1"/>
  <c r="F23" i="5" s="1"/>
  <c r="H104" i="1"/>
  <c r="H103" i="1" s="1"/>
  <c r="S102" i="1"/>
  <c r="R102" i="1"/>
  <c r="S101" i="1"/>
  <c r="R101" i="1"/>
  <c r="S100" i="1"/>
  <c r="R100" i="1"/>
  <c r="S99" i="1"/>
  <c r="R99" i="1"/>
  <c r="S98" i="1"/>
  <c r="R98" i="1"/>
  <c r="S97" i="1"/>
  <c r="R97" i="1"/>
  <c r="Q96" i="1"/>
  <c r="J22" i="5" s="1"/>
  <c r="P96" i="1"/>
  <c r="O96" i="1"/>
  <c r="I22" i="5" s="1"/>
  <c r="N96" i="1"/>
  <c r="M96" i="1"/>
  <c r="H22" i="5" s="1"/>
  <c r="L96" i="1"/>
  <c r="K96" i="1"/>
  <c r="G22" i="5" s="1"/>
  <c r="J96" i="1"/>
  <c r="I96" i="1"/>
  <c r="F22" i="5" s="1"/>
  <c r="H96" i="1"/>
  <c r="S95" i="1"/>
  <c r="R95" i="1"/>
  <c r="S94" i="1"/>
  <c r="R94" i="1"/>
  <c r="Q93" i="1"/>
  <c r="J21" i="5" s="1"/>
  <c r="P93" i="1"/>
  <c r="O93" i="1"/>
  <c r="I21" i="5" s="1"/>
  <c r="N93" i="1"/>
  <c r="M93" i="1"/>
  <c r="H21" i="5" s="1"/>
  <c r="L93" i="1"/>
  <c r="K93" i="1"/>
  <c r="G21" i="5" s="1"/>
  <c r="J93" i="1"/>
  <c r="I93" i="1"/>
  <c r="F21" i="5" s="1"/>
  <c r="H93" i="1"/>
  <c r="S87" i="1"/>
  <c r="R87" i="1"/>
  <c r="S86" i="1"/>
  <c r="R86" i="1"/>
  <c r="S85" i="1"/>
  <c r="R85" i="1"/>
  <c r="S84" i="1"/>
  <c r="R84" i="1"/>
  <c r="S83" i="1"/>
  <c r="R83" i="1"/>
  <c r="S82" i="1"/>
  <c r="R82" i="1"/>
  <c r="J20" i="5"/>
  <c r="I20" i="5"/>
  <c r="H20" i="5"/>
  <c r="G20" i="5"/>
  <c r="F20" i="5"/>
  <c r="S77" i="1"/>
  <c r="R77" i="1"/>
  <c r="Q75" i="1"/>
  <c r="P75" i="1"/>
  <c r="I19" i="5"/>
  <c r="N75" i="1"/>
  <c r="L75" i="1"/>
  <c r="G19" i="5"/>
  <c r="J75" i="1"/>
  <c r="F19" i="5"/>
  <c r="H75" i="1"/>
  <c r="E19" i="5"/>
  <c r="D19" i="5"/>
  <c r="D19" i="6" s="1"/>
  <c r="O75" i="1"/>
  <c r="S74" i="1"/>
  <c r="R74" i="1"/>
  <c r="S73" i="1"/>
  <c r="R73" i="1"/>
  <c r="S72" i="1"/>
  <c r="R72" i="1"/>
  <c r="S71" i="1"/>
  <c r="R71" i="1"/>
  <c r="Q70" i="1"/>
  <c r="J18" i="5" s="1"/>
  <c r="P70" i="1"/>
  <c r="P69" i="1" s="1"/>
  <c r="O70" i="1"/>
  <c r="I18" i="5" s="1"/>
  <c r="N70" i="1"/>
  <c r="N69" i="1" s="1"/>
  <c r="M70" i="1"/>
  <c r="L70" i="1"/>
  <c r="L69" i="1" s="1"/>
  <c r="K70" i="1"/>
  <c r="G18" i="5" s="1"/>
  <c r="J70" i="1"/>
  <c r="J69" i="1" s="1"/>
  <c r="I70" i="1"/>
  <c r="F18" i="5" s="1"/>
  <c r="F18" i="6" s="1"/>
  <c r="H70" i="1"/>
  <c r="H69" i="1" s="1"/>
  <c r="S66" i="1"/>
  <c r="R66" i="1"/>
  <c r="Q63" i="1"/>
  <c r="J17" i="5" s="1"/>
  <c r="P63" i="1"/>
  <c r="O63" i="1"/>
  <c r="I17" i="5" s="1"/>
  <c r="N63" i="1"/>
  <c r="M63" i="1"/>
  <c r="H17" i="5" s="1"/>
  <c r="L63" i="1"/>
  <c r="K63" i="1"/>
  <c r="G17" i="5" s="1"/>
  <c r="J63" i="1"/>
  <c r="I63" i="1"/>
  <c r="F17" i="5" s="1"/>
  <c r="H63" i="1"/>
  <c r="G63" i="1"/>
  <c r="E17" i="5" s="1"/>
  <c r="F63" i="1"/>
  <c r="E63" i="1"/>
  <c r="D17" i="5" s="1"/>
  <c r="D17" i="6" s="1"/>
  <c r="D63" i="1"/>
  <c r="S61" i="1"/>
  <c r="S60" i="1" s="1"/>
  <c r="R61" i="1"/>
  <c r="R60" i="1" s="1"/>
  <c r="S55" i="1"/>
  <c r="R55" i="1"/>
  <c r="Q55" i="1"/>
  <c r="J14" i="5" s="1"/>
  <c r="P55" i="1"/>
  <c r="O55" i="1"/>
  <c r="I14" i="5" s="1"/>
  <c r="N55" i="1"/>
  <c r="M55" i="1"/>
  <c r="H14" i="5" s="1"/>
  <c r="L55" i="1"/>
  <c r="K55" i="1"/>
  <c r="G14" i="5" s="1"/>
  <c r="J55" i="1"/>
  <c r="I55" i="1"/>
  <c r="F14" i="5" s="1"/>
  <c r="H55" i="1"/>
  <c r="R81" i="1" l="1"/>
  <c r="S81" i="1"/>
  <c r="L80" i="1"/>
  <c r="L79" i="1" s="1"/>
  <c r="R76" i="1"/>
  <c r="R75" i="1" s="1"/>
  <c r="S76" i="1"/>
  <c r="J54" i="1"/>
  <c r="H54" i="1"/>
  <c r="P68" i="1"/>
  <c r="O69" i="1"/>
  <c r="O68" i="1" s="1"/>
  <c r="G18" i="6"/>
  <c r="E19" i="6"/>
  <c r="F19" i="6" s="1"/>
  <c r="G19" i="6" s="1"/>
  <c r="K69" i="1"/>
  <c r="K75" i="1"/>
  <c r="G54" i="1"/>
  <c r="G38" i="1" s="1"/>
  <c r="K22" i="5"/>
  <c r="H123" i="1"/>
  <c r="H122" i="1" s="1"/>
  <c r="D135" i="1"/>
  <c r="D121" i="1" s="1"/>
  <c r="D194" i="1" s="1"/>
  <c r="L161" i="1"/>
  <c r="L135" i="1" s="1"/>
  <c r="P161" i="1"/>
  <c r="P135" i="1" s="1"/>
  <c r="R167" i="1"/>
  <c r="H80" i="1"/>
  <c r="H79" i="1" s="1"/>
  <c r="P80" i="1"/>
  <c r="P79" i="1" s="1"/>
  <c r="R93" i="1"/>
  <c r="S124" i="1"/>
  <c r="M131" i="1"/>
  <c r="K136" i="1"/>
  <c r="I174" i="1"/>
  <c r="I182" i="1"/>
  <c r="S183" i="1"/>
  <c r="S182" i="1" s="1"/>
  <c r="E153" i="1"/>
  <c r="J80" i="1"/>
  <c r="J79" i="1" s="1"/>
  <c r="N80" i="1"/>
  <c r="N79" i="1" s="1"/>
  <c r="R132" i="1"/>
  <c r="R131" i="1" s="1"/>
  <c r="M182" i="1"/>
  <c r="F135" i="1"/>
  <c r="F121" i="1" s="1"/>
  <c r="F194" i="1" s="1"/>
  <c r="K123" i="1"/>
  <c r="G136" i="1"/>
  <c r="J123" i="1"/>
  <c r="J122" i="1" s="1"/>
  <c r="O174" i="1"/>
  <c r="R175" i="1"/>
  <c r="R174" i="1" s="1"/>
  <c r="Q182" i="1"/>
  <c r="O136" i="1"/>
  <c r="Q32" i="1"/>
  <c r="M32" i="1"/>
  <c r="N54" i="1"/>
  <c r="I32" i="1"/>
  <c r="P54" i="1"/>
  <c r="I54" i="1"/>
  <c r="K12" i="5"/>
  <c r="K21" i="5"/>
  <c r="G25" i="6"/>
  <c r="H25" i="6" s="1"/>
  <c r="F21" i="6"/>
  <c r="G21" i="6" s="1"/>
  <c r="H21" i="6" s="1"/>
  <c r="I21" i="6" s="1"/>
  <c r="J21" i="6" s="1"/>
  <c r="K14" i="5"/>
  <c r="F22" i="6"/>
  <c r="G22" i="6" s="1"/>
  <c r="H22" i="6" s="1"/>
  <c r="I22" i="6" s="1"/>
  <c r="J22" i="6" s="1"/>
  <c r="L54" i="1"/>
  <c r="K20" i="5"/>
  <c r="H68" i="1"/>
  <c r="M69" i="1"/>
  <c r="H18" i="5"/>
  <c r="K18" i="5" s="1"/>
  <c r="M75" i="1"/>
  <c r="H19" i="5"/>
  <c r="K19" i="5" s="1"/>
  <c r="M103" i="1"/>
  <c r="H23" i="5"/>
  <c r="Q103" i="1"/>
  <c r="J23" i="5"/>
  <c r="I116" i="1"/>
  <c r="I115" i="1" s="1"/>
  <c r="F24" i="5"/>
  <c r="M116" i="1"/>
  <c r="M115" i="1" s="1"/>
  <c r="H24" i="5"/>
  <c r="Q116" i="1"/>
  <c r="Q115" i="1" s="1"/>
  <c r="J24" i="5"/>
  <c r="K131" i="1"/>
  <c r="G27" i="5"/>
  <c r="D29" i="6"/>
  <c r="E29" i="6" s="1"/>
  <c r="F29" i="6" s="1"/>
  <c r="G29" i="6" s="1"/>
  <c r="H29" i="6" s="1"/>
  <c r="I29" i="6" s="1"/>
  <c r="J29" i="6" s="1"/>
  <c r="K29" i="5"/>
  <c r="D30" i="6"/>
  <c r="E30" i="6" s="1"/>
  <c r="F30" i="6" s="1"/>
  <c r="G30" i="6" s="1"/>
  <c r="M153" i="1"/>
  <c r="H30" i="5"/>
  <c r="Q153" i="1"/>
  <c r="J30" i="5"/>
  <c r="D31" i="6"/>
  <c r="E31" i="6" s="1"/>
  <c r="F31" i="6" s="1"/>
  <c r="G31" i="6" s="1"/>
  <c r="H31" i="6" s="1"/>
  <c r="I31" i="6" s="1"/>
  <c r="J31" i="6" s="1"/>
  <c r="K31" i="5"/>
  <c r="K161" i="1"/>
  <c r="G32" i="5"/>
  <c r="G32" i="6" s="1"/>
  <c r="H32" i="6" s="1"/>
  <c r="O161" i="1"/>
  <c r="I32" i="5"/>
  <c r="K182" i="1"/>
  <c r="G34" i="5"/>
  <c r="O182" i="1"/>
  <c r="I34" i="5"/>
  <c r="O80" i="1"/>
  <c r="K80" i="1"/>
  <c r="Q54" i="1"/>
  <c r="G32" i="1"/>
  <c r="G11" i="1" s="1"/>
  <c r="F14" i="6"/>
  <c r="G14" i="6" s="1"/>
  <c r="H14" i="6" s="1"/>
  <c r="I14" i="6" s="1"/>
  <c r="J14" i="6" s="1"/>
  <c r="E17" i="6"/>
  <c r="F17" i="6" s="1"/>
  <c r="G17" i="6" s="1"/>
  <c r="H17" i="6" s="1"/>
  <c r="I17" i="6" s="1"/>
  <c r="J17" i="6" s="1"/>
  <c r="S63" i="1"/>
  <c r="M123" i="1"/>
  <c r="O123" i="1"/>
  <c r="O122" i="1" s="1"/>
  <c r="I25" i="5"/>
  <c r="R124" i="1"/>
  <c r="Q123" i="1"/>
  <c r="J26" i="5"/>
  <c r="I131" i="1"/>
  <c r="G153" i="1"/>
  <c r="G135" i="1" s="1"/>
  <c r="G121" i="1" s="1"/>
  <c r="K153" i="1"/>
  <c r="I161" i="1"/>
  <c r="H161" i="1"/>
  <c r="H135" i="1" s="1"/>
  <c r="K174" i="1"/>
  <c r="Q136" i="1"/>
  <c r="M136" i="1"/>
  <c r="I136" i="1"/>
  <c r="E136" i="1"/>
  <c r="K54" i="1"/>
  <c r="O32" i="1"/>
  <c r="K32" i="1"/>
  <c r="F23" i="6"/>
  <c r="E12" i="6"/>
  <c r="F12" i="6" s="1"/>
  <c r="G12" i="6" s="1"/>
  <c r="H12" i="6" s="1"/>
  <c r="I12" i="6" s="1"/>
  <c r="J12" i="6" s="1"/>
  <c r="I69" i="1"/>
  <c r="Q69" i="1"/>
  <c r="Q68" i="1" s="1"/>
  <c r="I75" i="1"/>
  <c r="I103" i="1"/>
  <c r="K103" i="1"/>
  <c r="G23" i="5"/>
  <c r="O103" i="1"/>
  <c r="I23" i="5"/>
  <c r="K116" i="1"/>
  <c r="K115" i="1" s="1"/>
  <c r="G24" i="5"/>
  <c r="O116" i="1"/>
  <c r="O115" i="1" s="1"/>
  <c r="I24" i="5"/>
  <c r="I123" i="1"/>
  <c r="F26" i="5"/>
  <c r="Q131" i="1"/>
  <c r="J27" i="5"/>
  <c r="S167" i="1"/>
  <c r="M174" i="1"/>
  <c r="H33" i="5"/>
  <c r="Q174" i="1"/>
  <c r="J33" i="5"/>
  <c r="S175" i="1"/>
  <c r="D34" i="6"/>
  <c r="E34" i="6" s="1"/>
  <c r="F34" i="6" s="1"/>
  <c r="Q80" i="1"/>
  <c r="M80" i="1"/>
  <c r="O54" i="1"/>
  <c r="F27" i="6"/>
  <c r="F33" i="6"/>
  <c r="G33" i="6" s="1"/>
  <c r="I80" i="1"/>
  <c r="F20" i="6"/>
  <c r="G20" i="6" s="1"/>
  <c r="H20" i="6" s="1"/>
  <c r="I20" i="6" s="1"/>
  <c r="J20" i="6" s="1"/>
  <c r="D9" i="6"/>
  <c r="M54" i="1"/>
  <c r="K17" i="5"/>
  <c r="R183" i="1"/>
  <c r="R182" i="1" s="1"/>
  <c r="Q161" i="1"/>
  <c r="M161" i="1"/>
  <c r="J161" i="1"/>
  <c r="J135" i="1" s="1"/>
  <c r="N161" i="1"/>
  <c r="N135" i="1" s="1"/>
  <c r="S162" i="1"/>
  <c r="U162" i="1" s="1"/>
  <c r="R162" i="1"/>
  <c r="R154" i="1"/>
  <c r="R153" i="1" s="1"/>
  <c r="S154" i="1"/>
  <c r="S146" i="1"/>
  <c r="S136" i="1" s="1"/>
  <c r="S127" i="1"/>
  <c r="R151" i="1"/>
  <c r="R146" i="1" s="1"/>
  <c r="R136" i="1" s="1"/>
  <c r="S132" i="1"/>
  <c r="S131" i="1" s="1"/>
  <c r="P123" i="1"/>
  <c r="P122" i="1" s="1"/>
  <c r="R127" i="1"/>
  <c r="L123" i="1"/>
  <c r="L122" i="1" s="1"/>
  <c r="N123" i="1"/>
  <c r="N122" i="1" s="1"/>
  <c r="N121" i="1" s="1"/>
  <c r="R96" i="1"/>
  <c r="R104" i="1"/>
  <c r="R103" i="1" s="1"/>
  <c r="S104" i="1"/>
  <c r="S103" i="1" s="1"/>
  <c r="S96" i="1"/>
  <c r="S93" i="1"/>
  <c r="R70" i="1"/>
  <c r="R69" i="1" s="1"/>
  <c r="L68" i="1"/>
  <c r="J68" i="1"/>
  <c r="N68" i="1"/>
  <c r="S70" i="1"/>
  <c r="S69" i="1" s="1"/>
  <c r="R63" i="1"/>
  <c r="U60" i="1"/>
  <c r="S48" i="1"/>
  <c r="R48" i="1"/>
  <c r="S47" i="1"/>
  <c r="R47" i="1"/>
  <c r="S46" i="1"/>
  <c r="R46" i="1"/>
  <c r="S45" i="1"/>
  <c r="R45" i="1"/>
  <c r="S44" i="1"/>
  <c r="R44" i="1"/>
  <c r="S43" i="1"/>
  <c r="R43" i="1"/>
  <c r="S42" i="1"/>
  <c r="R42" i="1"/>
  <c r="S41" i="1"/>
  <c r="R41" i="1"/>
  <c r="P39" i="1"/>
  <c r="N39" i="1"/>
  <c r="L39" i="1"/>
  <c r="J39" i="1"/>
  <c r="I40" i="1"/>
  <c r="H40" i="1"/>
  <c r="H39" i="1" s="1"/>
  <c r="S34" i="1"/>
  <c r="S33" i="1" s="1"/>
  <c r="S32" i="1" s="1"/>
  <c r="R34" i="1"/>
  <c r="R33" i="1" s="1"/>
  <c r="R32" i="1" s="1"/>
  <c r="S31" i="1"/>
  <c r="R31" i="1"/>
  <c r="S30" i="1"/>
  <c r="R30" i="1"/>
  <c r="S29" i="1"/>
  <c r="R29" i="1"/>
  <c r="Q28" i="1"/>
  <c r="P28" i="1"/>
  <c r="O28" i="1"/>
  <c r="N28" i="1"/>
  <c r="M28" i="1"/>
  <c r="L28" i="1"/>
  <c r="K28" i="1"/>
  <c r="J28" i="1"/>
  <c r="I28" i="1"/>
  <c r="H28" i="1"/>
  <c r="Q13" i="1"/>
  <c r="J9" i="5" s="1"/>
  <c r="P13" i="1"/>
  <c r="O13" i="1"/>
  <c r="N13" i="1"/>
  <c r="M13" i="1"/>
  <c r="H9" i="5" s="1"/>
  <c r="L13" i="1"/>
  <c r="K13" i="1"/>
  <c r="G9" i="5" s="1"/>
  <c r="J13" i="1"/>
  <c r="I13" i="1"/>
  <c r="F9" i="5" s="1"/>
  <c r="G13" i="1"/>
  <c r="E9" i="5" s="1"/>
  <c r="F13" i="1"/>
  <c r="E13" i="1"/>
  <c r="D13"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S40" i="1" l="1"/>
  <c r="R40" i="1"/>
  <c r="R39" i="1" s="1"/>
  <c r="S153" i="1"/>
  <c r="U154" i="1"/>
  <c r="S174" i="1"/>
  <c r="U175" i="1"/>
  <c r="S75" i="1"/>
  <c r="S68" i="1" s="1"/>
  <c r="U76" i="1"/>
  <c r="R68" i="1"/>
  <c r="E135" i="1"/>
  <c r="E121" i="1" s="1"/>
  <c r="E194" i="1" s="1"/>
  <c r="H38" i="1"/>
  <c r="J38" i="1"/>
  <c r="I12" i="1"/>
  <c r="I11" i="1" s="1"/>
  <c r="M122" i="1"/>
  <c r="S123" i="1"/>
  <c r="P67" i="1"/>
  <c r="K68" i="1"/>
  <c r="G10" i="1"/>
  <c r="G194" i="1" s="1"/>
  <c r="P38" i="1"/>
  <c r="M68" i="1"/>
  <c r="N38" i="1"/>
  <c r="H19" i="6"/>
  <c r="I19" i="6" s="1"/>
  <c r="J19" i="6" s="1"/>
  <c r="R161" i="1"/>
  <c r="R135" i="1" s="1"/>
  <c r="G27" i="6"/>
  <c r="H27" i="6" s="1"/>
  <c r="I27" i="6" s="1"/>
  <c r="J27" i="6" s="1"/>
  <c r="K34" i="5"/>
  <c r="K32" i="5"/>
  <c r="P121" i="1"/>
  <c r="L67" i="1"/>
  <c r="J67" i="1"/>
  <c r="H121" i="1"/>
  <c r="R123" i="1"/>
  <c r="R122" i="1" s="1"/>
  <c r="I135" i="1"/>
  <c r="N67" i="1"/>
  <c r="K135" i="1"/>
  <c r="K122" i="1"/>
  <c r="I25" i="6"/>
  <c r="J25" i="6" s="1"/>
  <c r="S80" i="1"/>
  <c r="S79" i="1" s="1"/>
  <c r="O135" i="1"/>
  <c r="O121" i="1" s="1"/>
  <c r="I79" i="1"/>
  <c r="M79" i="1"/>
  <c r="Q135" i="1"/>
  <c r="Q122" i="1"/>
  <c r="O79" i="1"/>
  <c r="O67" i="1" s="1"/>
  <c r="J121" i="1"/>
  <c r="K27" i="5"/>
  <c r="L121" i="1"/>
  <c r="S122" i="1"/>
  <c r="I68" i="1"/>
  <c r="H67" i="1"/>
  <c r="I32" i="6"/>
  <c r="J32" i="6" s="1"/>
  <c r="K30" i="5"/>
  <c r="H30" i="6"/>
  <c r="I30" i="6" s="1"/>
  <c r="J30" i="6" s="1"/>
  <c r="K23" i="5"/>
  <c r="G34" i="6"/>
  <c r="H34" i="6" s="1"/>
  <c r="I34" i="6" s="1"/>
  <c r="J34" i="6" s="1"/>
  <c r="H33" i="6"/>
  <c r="I33" i="6" s="1"/>
  <c r="J33" i="6" s="1"/>
  <c r="K33" i="5"/>
  <c r="K25" i="5"/>
  <c r="H18" i="6"/>
  <c r="I18" i="6" s="1"/>
  <c r="J18" i="6" s="1"/>
  <c r="S54" i="1"/>
  <c r="L38" i="1"/>
  <c r="K26" i="5"/>
  <c r="F26" i="6"/>
  <c r="G26" i="6" s="1"/>
  <c r="H26" i="6" s="1"/>
  <c r="I26" i="6" s="1"/>
  <c r="J26" i="6" s="1"/>
  <c r="G23" i="6"/>
  <c r="H23" i="6" s="1"/>
  <c r="I23" i="6" s="1"/>
  <c r="J23" i="6" s="1"/>
  <c r="I39" i="1"/>
  <c r="I38" i="1" s="1"/>
  <c r="F13" i="5"/>
  <c r="M39" i="1"/>
  <c r="M38" i="1" s="1"/>
  <c r="H13" i="5"/>
  <c r="Q39" i="1"/>
  <c r="Q38" i="1" s="1"/>
  <c r="J13" i="5"/>
  <c r="S161" i="1"/>
  <c r="Q79" i="1"/>
  <c r="Q67" i="1" s="1"/>
  <c r="I122" i="1"/>
  <c r="K79" i="1"/>
  <c r="K67" i="1" s="1"/>
  <c r="K24" i="5"/>
  <c r="F24" i="6"/>
  <c r="G24" i="6" s="1"/>
  <c r="H24" i="6" s="1"/>
  <c r="I24" i="6" s="1"/>
  <c r="J24" i="6" s="1"/>
  <c r="N12" i="1"/>
  <c r="N11" i="1" s="1"/>
  <c r="R54" i="1"/>
  <c r="O12" i="1"/>
  <c r="O11" i="1" s="1"/>
  <c r="I9" i="5"/>
  <c r="K39" i="1"/>
  <c r="K38" i="1" s="1"/>
  <c r="G13" i="5"/>
  <c r="O39" i="1"/>
  <c r="O38" i="1" s="1"/>
  <c r="I13" i="5"/>
  <c r="R80" i="1"/>
  <c r="R79" i="1" s="1"/>
  <c r="M135" i="1"/>
  <c r="Q12" i="1"/>
  <c r="Q11" i="1" s="1"/>
  <c r="S28" i="1"/>
  <c r="P12" i="1"/>
  <c r="P11" i="1" s="1"/>
  <c r="J12" i="1"/>
  <c r="J11" i="1" s="1"/>
  <c r="S39" i="1"/>
  <c r="H12" i="1"/>
  <c r="H11" i="1" s="1"/>
  <c r="R28" i="1"/>
  <c r="L12" i="1"/>
  <c r="L11" i="1" s="1"/>
  <c r="M12" i="1"/>
  <c r="M11" i="1" s="1"/>
  <c r="S13" i="1"/>
  <c r="U13" i="1" s="1"/>
  <c r="R13" i="1"/>
  <c r="K12" i="1"/>
  <c r="K11" i="1" s="1"/>
  <c r="S135" i="1" l="1"/>
  <c r="S121" i="1" s="1"/>
  <c r="R67" i="1"/>
  <c r="S67" i="1"/>
  <c r="R12" i="1"/>
  <c r="R11" i="1" s="1"/>
  <c r="H10" i="1"/>
  <c r="H194" i="1" s="1"/>
  <c r="N10" i="1"/>
  <c r="N194" i="1" s="1"/>
  <c r="J10" i="1"/>
  <c r="J194" i="1" s="1"/>
  <c r="M121" i="1"/>
  <c r="I10" i="1"/>
  <c r="O10" i="1"/>
  <c r="O194" i="1" s="1"/>
  <c r="M67" i="1"/>
  <c r="P10" i="1"/>
  <c r="P194" i="1" s="1"/>
  <c r="I121" i="1"/>
  <c r="K121" i="1"/>
  <c r="I67" i="1"/>
  <c r="R121" i="1"/>
  <c r="Q121" i="1"/>
  <c r="Q10" i="1"/>
  <c r="L10" i="1"/>
  <c r="L194" i="1" s="1"/>
  <c r="K10" i="1"/>
  <c r="M10" i="1"/>
  <c r="S38" i="1"/>
  <c r="K9" i="5"/>
  <c r="K13" i="5"/>
  <c r="F13" i="6"/>
  <c r="G13" i="6" s="1"/>
  <c r="H13" i="6" s="1"/>
  <c r="I13" i="6" s="1"/>
  <c r="J13" i="6" s="1"/>
  <c r="R38" i="1"/>
  <c r="E9" i="6"/>
  <c r="F9" i="6" s="1"/>
  <c r="G9" i="6" s="1"/>
  <c r="H9" i="6" s="1"/>
  <c r="I9" i="6" s="1"/>
  <c r="J9" i="6" s="1"/>
  <c r="S12" i="1"/>
  <c r="S11" i="1" s="1"/>
  <c r="R10" i="1" l="1"/>
  <c r="R194" i="1" s="1"/>
  <c r="I194" i="1"/>
  <c r="M194" i="1"/>
  <c r="K194" i="1"/>
  <c r="Q194" i="1"/>
  <c r="S10" i="1"/>
  <c r="S194" i="1" s="1"/>
</calcChain>
</file>

<file path=xl/sharedStrings.xml><?xml version="1.0" encoding="utf-8"?>
<sst xmlns="http://schemas.openxmlformats.org/spreadsheetml/2006/main" count="4556" uniqueCount="1059">
  <si>
    <t>1 lentelė. Priemonės, joms įgyvendinti reikalingų lėšų poreikis ir finansavimo šaltiniai (paskirstyta pagal planuojamą sutarčių sudarymą).</t>
  </si>
  <si>
    <t>PRIEMONIŲ PLANAS</t>
  </si>
  <si>
    <t>2014 m.</t>
  </si>
  <si>
    <t>2015 m.</t>
  </si>
  <si>
    <t>2016 m.</t>
  </si>
  <si>
    <t>2017 m.</t>
  </si>
  <si>
    <t>2018 m.</t>
  </si>
  <si>
    <t>2019 m.</t>
  </si>
  <si>
    <t>2020 m.</t>
  </si>
  <si>
    <t>Iš viso 2014-2020 m. (be rezervinių projektų)</t>
  </si>
  <si>
    <t>Nr.</t>
  </si>
  <si>
    <t>Lėšų poreikis:</t>
  </si>
  <si>
    <t>Iš viso</t>
  </si>
  <si>
    <t>ES lėšos</t>
  </si>
  <si>
    <t xml:space="preserve">1. </t>
  </si>
  <si>
    <t xml:space="preserve">1.1 </t>
  </si>
  <si>
    <t xml:space="preserve">1.1.1 </t>
  </si>
  <si>
    <t xml:space="preserve">1.1.1.1 </t>
  </si>
  <si>
    <t xml:space="preserve">1.1.1.2 </t>
  </si>
  <si>
    <t xml:space="preserve">1.1.2 </t>
  </si>
  <si>
    <t xml:space="preserve">1.1.2.1 </t>
  </si>
  <si>
    <t xml:space="preserve">1.2 </t>
  </si>
  <si>
    <t xml:space="preserve">1.2.1 </t>
  </si>
  <si>
    <t>Iš viso planui įgyvendinti:</t>
  </si>
  <si>
    <t>metodikos</t>
  </si>
  <si>
    <t>3 priedas</t>
  </si>
  <si>
    <t>2 lentelė. Projektams įgyvendinti reikalingų lėšų poreikis, finansavimo šaltiniai ir pagrindinių projektų įgyvendinimo etapų terminai.</t>
  </si>
  <si>
    <t>Požymiai</t>
  </si>
  <si>
    <t>Lėšų poreikis ir finansavimo šaltiniai (Eur)</t>
  </si>
  <si>
    <t>Projekto etapai</t>
  </si>
  <si>
    <t>Projektas</t>
  </si>
  <si>
    <t>Ministerija</t>
  </si>
  <si>
    <t>Įgyvendinimo teritorija</t>
  </si>
  <si>
    <t>Veiksmų programos įgyvendinimo plano priemonė arba  Kaimo plėtros programos priemonė (Nr.)</t>
  </si>
  <si>
    <t>R/V/KT *</t>
  </si>
  <si>
    <t>ITI, RSP **</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</si>
  <si>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</si>
  <si>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</si>
  <si>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</si>
  <si>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</si>
  <si>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</si>
  <si>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</si>
  <si>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</si>
  <si>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</si>
  <si>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</si>
  <si>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</si>
  <si>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t>
  </si>
  <si>
    <t>-</t>
  </si>
  <si>
    <t>1.1.1</t>
  </si>
  <si>
    <t>1.1.1.1</t>
  </si>
  <si>
    <t>1.1.1.1.1</t>
  </si>
  <si>
    <t>1.1.1.1.2</t>
  </si>
  <si>
    <t>1.1.1.2</t>
  </si>
  <si>
    <t>1.1.1.2.1</t>
  </si>
  <si>
    <t>1.1.1.2.2</t>
  </si>
  <si>
    <t>** ITI – projektas, įgyvendinamas pagal integruotą teritorijų vystymo programą; RSP – regioninės svarbos projektas.</t>
  </si>
  <si>
    <t>*** rez. – rezervinis projektas.</t>
  </si>
  <si>
    <t>Projektams priskirti vertinimo kriterijai</t>
  </si>
  <si>
    <t>rez.</t>
  </si>
  <si>
    <t>Kodas (I)*</t>
  </si>
  <si>
    <t>Produkto ir rezulato vertinimo kriterijus (I) (pavadinimas)</t>
  </si>
  <si>
    <t>Siekiama reikšmė (I)</t>
  </si>
  <si>
    <t>Kodas (II)</t>
  </si>
  <si>
    <t>Siekiama reikšmė (II)</t>
  </si>
  <si>
    <t>Kodas (III)</t>
  </si>
  <si>
    <t>Siekiama reikšmė (III)</t>
  </si>
  <si>
    <t>Kodas (IV)</t>
  </si>
  <si>
    <t>Siekiama reikšmė (IV)</t>
  </si>
  <si>
    <t>Produkto ir rezulato vertinimo kriterijus (II) (pavadinimas)</t>
  </si>
  <si>
    <t xml:space="preserve">* ES finansinės paramos lėšomis finansuojamiems projektams sudaromas pagal Veiksmų programos arba Kaimo plėtros programos kodavimo taisykles. </t>
  </si>
  <si>
    <r>
      <t>4 lentelė.</t>
    </r>
    <r>
      <rPr>
        <b/>
        <sz val="11"/>
        <color theme="1"/>
        <rFont val="Times New Roman"/>
        <family val="1"/>
        <charset val="186"/>
      </rPr>
      <t xml:space="preserve"> </t>
    </r>
    <r>
      <rPr>
        <b/>
        <sz val="12"/>
        <color theme="1"/>
        <rFont val="Times New Roman"/>
        <family val="1"/>
        <charset val="186"/>
      </rPr>
      <t>Numatomų sukurti produktų ir rezultatų (siektinų produkto ir rezultato vertinimo kriterijų reikšmių) suvestinė.</t>
    </r>
  </si>
  <si>
    <t>Kodas</t>
  </si>
  <si>
    <t xml:space="preserve"> (numatomos sudaryti projektų finansavimo sutartys, pamečiui).</t>
  </si>
  <si>
    <t>Metai:</t>
  </si>
  <si>
    <t>Veiksmų programos įgyvendinimo plano priemonė ir Kaimo plėtros programos priemonė (Nr.)</t>
  </si>
  <si>
    <t>Veiksmų programos įgyvendinimo plano priemonės pavadinimas</t>
  </si>
  <si>
    <t>5 lentelė. Lėšų paskirstymas pagal Veiksmų programos įgyvendinimo plano priemones ir Kaimo plėtros programos priemones (tūkst. Eur)</t>
  </si>
  <si>
    <t>(numatomos sudaryti projektų finansavimo sutartys, kaupiamuoju būdu).</t>
  </si>
  <si>
    <t>Veiksmų programos įgyvendinimo plano ir Kaimo plėtros programos priemonė (Nr.)</t>
  </si>
  <si>
    <t>Veiksmų programos ir Kaimo plėtros programos priemonės pavadinimas</t>
  </si>
  <si>
    <t xml:space="preserve">6 lentelė. Lėšų paskirstymas pagal Veiksmų programos įgyvendinimo plano priemones ir Kaimo plėtros programos priemones (tūkst. Eur) </t>
  </si>
  <si>
    <t>Pavadinimas</t>
  </si>
  <si>
    <t>Projektų, kuriems veiklų grupė priskirta kaip pagrindinė, skaičius</t>
  </si>
  <si>
    <t>Projektų, kuriems veiklų grupė priskirta kaip pagrindinė, lėšų poreikis (iš viso)</t>
  </si>
  <si>
    <t>Atsinaujinančių energijos šaltinių diegimas</t>
  </si>
  <si>
    <t>Viešųjų pastatų energinio efektyvumo didinimas</t>
  </si>
  <si>
    <t>Viešosios infrastruktūros (išskyrus pastatus) energinio efektyvumo didinimas</t>
  </si>
  <si>
    <t>Gyvenamųjų namų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</si>
  <si>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</si>
  <si>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</si>
  <si>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</si>
  <si>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</si>
  <si>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</si>
  <si>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</si>
  <si>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</si>
  <si>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</si>
  <si>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</si>
  <si>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</si>
  <si>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</si>
  <si>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</si>
  <si>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</si>
  <si>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</si>
  <si>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</si>
  <si>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</si>
  <si>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</si>
  <si>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</si>
  <si>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</si>
  <si>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</si>
  <si>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</si>
  <si>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</si>
  <si>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</si>
  <si>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</si>
  <si>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pramoninių, buvusių karinių, inžinerinių ir pan. objektų teritorijų pritaikymas ar konversija</t>
  </si>
  <si>
    <t>Kitos viešosios infrastruktūros modernizavimas (pastatai ir statiniai): sveikatinimo ir sporto objektai</t>
  </si>
  <si>
    <t>Kitos viešosios infrastruktūros modernizavimas (pastatai ir statiniai): kultūros objektai</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</si>
  <si>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</si>
  <si>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</si>
  <si>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</si>
  <si>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</si>
  <si>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</si>
  <si>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</si>
  <si>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</si>
  <si>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</si>
  <si>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</si>
  <si>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</si>
  <si>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</si>
  <si>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</si>
  <si>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</si>
  <si>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</si>
  <si>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</si>
  <si>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</si>
  <si>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 viešoji infrastruktūra ir paslaugos</t>
  </si>
  <si>
    <t>Privačių juridinių asmenų ir juridinio asmens statuso neturinčių organizacijų gamybos srities projektai</t>
  </si>
  <si>
    <t>Privačių juridinių asmenų ir juridinio asmens statuso neturinčių organizacijų paslaugų srities projektai</t>
  </si>
  <si>
    <t>7 lentelė. Veiklų grupių suvestinė.</t>
  </si>
  <si>
    <t xml:space="preserve">Unikalus numeris**** </t>
  </si>
  <si>
    <t>Unikalus numeris</t>
  </si>
  <si>
    <t>Projektų, kuriems priskirta veiklų grupė, skaičius</t>
  </si>
  <si>
    <r>
      <t>Produkto ir rezultato vertinimo kriterijus</t>
    </r>
    <r>
      <rPr>
        <sz val="10"/>
        <color theme="1"/>
        <rFont val="Times New Roman"/>
        <family val="1"/>
        <charset val="186"/>
      </rPr>
      <t xml:space="preserve"> (pavadinimas)</t>
    </r>
  </si>
  <si>
    <r>
      <t xml:space="preserve">Siekiama reikšmė </t>
    </r>
    <r>
      <rPr>
        <sz val="10"/>
        <color theme="1"/>
        <rFont val="Times New Roman"/>
        <family val="1"/>
        <charset val="186"/>
      </rPr>
      <t>(projektams priskirtų kriterijų reikšmių suma)</t>
    </r>
  </si>
  <si>
    <t>Regionų plėtros planų rengimo</t>
  </si>
  <si>
    <t xml:space="preserve">****Unikalus numeris sudaromas iš kodų, nurodytų šio priedo 2–4 punktuose,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</si>
  <si>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 xml:space="preserve">ITI,   RSP </t>
  </si>
  <si>
    <t>Kita tarptautinė finansinė parama</t>
  </si>
  <si>
    <t>Pareiškėjas / projekto vykdytojas</t>
  </si>
  <si>
    <t>Pareiškėjas /  projekto vykdytojas</t>
  </si>
  <si>
    <t>*R – regiono projektas, V – valstybės projektas, KT –projektas, atrinktas kitu atrankos būdu.</t>
  </si>
  <si>
    <t xml:space="preserve">R/V/KT </t>
  </si>
  <si>
    <t>Tikslas: Gyvenamosioms vietovėms (tikslinėms teritorijoms) būdingų problemų sprendimas, didinant konkurencingumą, ekonomikos augimą ir gyvenamosios vietos patrauklumą</t>
  </si>
  <si>
    <t>Uždavinys: Kompleksiškai atnaujinti savivaldybių centrų ir kitų miestų (nuo 6 iki 100 tūkst. gyv.) viešąją infrastruktūrą</t>
  </si>
  <si>
    <t>Priemonė:  Miestų kompleksinė plėtra</t>
  </si>
  <si>
    <t>Anykščių miesto viešųjų erdvių sistemos pertvarkymas (I etapas)</t>
  </si>
  <si>
    <t>Anykščių miesto viešųjų erdvių sistemos pertvarkymas (II etapas)</t>
  </si>
  <si>
    <t>1.1.1.1.3</t>
  </si>
  <si>
    <t xml:space="preserve">Bendruomeninės aktyvaus laisvalaikio infrastruktūros įrengimas Anykščių mieste  </t>
  </si>
  <si>
    <t xml:space="preserve">1.1.1.1.4 </t>
  </si>
  <si>
    <t>Anykščių miesto viešųjų erdvių sistemos pertvarkymas (III etapas)</t>
  </si>
  <si>
    <t>1.1.1.1.5</t>
  </si>
  <si>
    <t>Molėtų miesto Ąžuolų ir Kreivosios gatvių teritorijų išnaudojimas įrengiant universalią daugiafunkcinę aikštę</t>
  </si>
  <si>
    <t>1.1.1.1.6</t>
  </si>
  <si>
    <t xml:space="preserve">Molėtų miesto centrinės dalies kompleksinis sutvarkymas (II etapas) </t>
  </si>
  <si>
    <t>1.1.1.1.7</t>
  </si>
  <si>
    <t>Prekybos ir paslaugų pasažo įrengimas D. Bukonto gatvėje Zarasų mieste</t>
  </si>
  <si>
    <t xml:space="preserve">1.1.1.1.8 </t>
  </si>
  <si>
    <t xml:space="preserve">Zarasų miesto viešųjų erdvių kompleksinis sutvarkymas teritorijoje tarp Dariaus ir Girėno g. bei Šiaulių g. ir dviejuose daugiabučių kiemuose P. Širvio gatvėje </t>
  </si>
  <si>
    <t xml:space="preserve">1.1.1.1.9 </t>
  </si>
  <si>
    <t xml:space="preserve">Molėtų miesto centrinės dalies kompleksinis sutvarkymas (I etapas) </t>
  </si>
  <si>
    <t>1.1.1.1.10</t>
  </si>
  <si>
    <t>Viešųjų erdvių Zarasų miesto Didžiojoje saloje sutvarkymas</t>
  </si>
  <si>
    <t xml:space="preserve">1.1.1.1.11 </t>
  </si>
  <si>
    <t xml:space="preserve">Viešųjų erdvių prie Zarasaičio ežero sutvarkymas ir aktyvaus poilsio infrastruktūros įrengimas </t>
  </si>
  <si>
    <t>1.1.1.1.12</t>
  </si>
  <si>
    <t xml:space="preserve">Viešosios aktyvaus laisvalaikio infrastruktūros plėtra Molėtų mieste, II etapas </t>
  </si>
  <si>
    <t>1.1.1.1.13</t>
  </si>
  <si>
    <t xml:space="preserve">Molėtų miesto J. Janonio g. gyvenamojo kvartalo viešosios infrastruktūros sutvarkymas </t>
  </si>
  <si>
    <t>1.1.1.1.14</t>
  </si>
  <si>
    <t>Zarasų Pauliaus Širvio progimnazijos sporto aikštyno įrengimas</t>
  </si>
  <si>
    <t>Priemonė:   Pereinamojo laikotarpio tikslinių teritorijų vystymas</t>
  </si>
  <si>
    <t xml:space="preserve">Daugiabučių namų kvartalų Ignalinos mieste kompleksinis sutvarkymas </t>
  </si>
  <si>
    <t>Apleistų/avarinių pastatų nugriovimas ir teritorijos valymas, regeneruojant buvusį karinį miestelį ir pritaikant kompleksą inovatyviai pramonei vystyti - SMART PARK  įkurti</t>
  </si>
  <si>
    <t>1.1.1.2.3</t>
  </si>
  <si>
    <t xml:space="preserve">Dauniškio daugiabučių namų kvartalo teritorijos sutvarkymas </t>
  </si>
  <si>
    <t>Uždavinys: Kompleksiškai atnaujinti 1-6 tūkst. gyventojų turinčių miestų (išskyrus savivaldybių centrus), miestelių ir kaimų bendruomeninę ir viešąją infrastruktūrą</t>
  </si>
  <si>
    <t>Priemonė: Kaimo gyvenamųjų vietovių atnaujinimas</t>
  </si>
  <si>
    <t>1.1.2.1.1</t>
  </si>
  <si>
    <t>Viešųjų erdvių atnaujinimas, pritaikant renginiams, poilsiui, laisvalaikiui, fizinio aktyvumo didinimui ir viešosios paskirties pastato patalpų pritaikymas bendruomenės poreikiams Ignalinos rajono Didžiasalio kaime</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</si>
  <si>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</si>
  <si>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</si>
  <si>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</si>
  <si>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</si>
  <si>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</si>
  <si>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</si>
  <si>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Tikslas: Modernios regiono transporto infrastruktūros ir darnaus judumo plėtojimas</t>
  </si>
  <si>
    <t>Uždavinys: Kompleksiškai modernizuoti kelių transporto infrastruktūrą</t>
  </si>
  <si>
    <t>1.2.1.1</t>
  </si>
  <si>
    <t>Priemonė: Vietinių kelių vystymas</t>
  </si>
  <si>
    <t>1.2.1.1.1</t>
  </si>
  <si>
    <t>Gatvės Ignalinos miesto rekreacinėje zonoje tarp Gavio ežero ir Turistų gatvės įrengimas</t>
  </si>
  <si>
    <t xml:space="preserve">1.2.1.1.2 </t>
  </si>
  <si>
    <t>Zarasų gatvės rekonstrukcija Zarasų mieste</t>
  </si>
  <si>
    <t>1.2.1.1.3</t>
  </si>
  <si>
    <t xml:space="preserve">Susisiekimo sąlygų pagerinimas tarp kuriamų Anykščių miesto traukos centrų bei patogus gyvenamosios aplinkos pasiekiamumo užtikrinimas. </t>
  </si>
  <si>
    <t>1.2.1.1.4</t>
  </si>
  <si>
    <t>Gyvenamosios aplinkos pasiekiamumo gerinimas Zarasų mieste rekonstruojant K. Donelaičio gatvę</t>
  </si>
  <si>
    <t>1.2.1.1.5</t>
  </si>
  <si>
    <t xml:space="preserve">Molėtų miesto Pastovio g., Siesarties g. ir S. Nėries g. rekonstrukcija </t>
  </si>
  <si>
    <t>1.2.1.1.6</t>
  </si>
  <si>
    <t>Aušros gatvės dalies nuo Gedimino ir Tauragnų gatvių sankryžos iki Žaliosios gatvės Utenoje rekonstrukcija.</t>
  </si>
  <si>
    <t>1.2.1.1.7</t>
  </si>
  <si>
    <t>Vietinės reikšmės kelio Visagino-Parko-Sedulinos al. kvartale rekonstravimas</t>
  </si>
  <si>
    <t>1.2.1.1.8</t>
  </si>
  <si>
    <t>Gyvenamosios aplinkos pasiekiamumo gerinimas Zarasų mieste rekonstruojant E. Pliaterytės gatvę</t>
  </si>
  <si>
    <t xml:space="preserve">1.2.2 </t>
  </si>
  <si>
    <t>Uždavinys: Plėtoti  aplinką tausojančią ir eismo saugą didinančią infrastruktūrą ir priemones bei darnų judumą</t>
  </si>
  <si>
    <t>1.2.2.1</t>
  </si>
  <si>
    <t>Priemonė: Pėsčiųjų ir dviračių takų rekonstrukcija ir plėtra</t>
  </si>
  <si>
    <t>1.2.2.1.2</t>
  </si>
  <si>
    <t>1.2.2.1.3</t>
  </si>
  <si>
    <t>Dviračių ir pėsčiųjų takų tinklo palei Ąžuolų g. iki mokyklų komplekso plėtra didinant atskirų Molėtų miesto teritorijų tarpusavio integraciją</t>
  </si>
  <si>
    <t>1.2.2.1.4</t>
  </si>
  <si>
    <t xml:space="preserve">Dviračių ir pėsčiųjų takų infrastruktūros Utenos mieste plėtra, siekiant pagerinti Pramonės rajono pasiekiamumą </t>
  </si>
  <si>
    <t>1.2.2.1.5</t>
  </si>
  <si>
    <t>Pėsčiųjų ir dviračių takų plėtra Griežto ežero pakrantėje nuo Vytauto gatvės iki Griežto gatvės</t>
  </si>
  <si>
    <t>1.2.2.2</t>
  </si>
  <si>
    <t>Priemonė: Darnaus judumo priemonių diegimas</t>
  </si>
  <si>
    <t>1.2.2.2.2</t>
  </si>
  <si>
    <t xml:space="preserve">Visagino miesto darnaus judumo plano parengimas </t>
  </si>
  <si>
    <t>1.2.2.2.3</t>
  </si>
  <si>
    <t xml:space="preserve">Darnaus judumo infrastruktūros įrengimas Visagino mieste </t>
  </si>
  <si>
    <t>1.2.2.2.4</t>
  </si>
  <si>
    <t>Darnaus judumo Utenos mieste plano rengimas</t>
  </si>
  <si>
    <t>1.2.2.3</t>
  </si>
  <si>
    <t>Priemonė: Vietinio susisiekimo viešojo transporto priemonių parko atnaujinimas</t>
  </si>
  <si>
    <t>1.2.2.3.3</t>
  </si>
  <si>
    <t xml:space="preserve"> Utenos rajono vietinio susisiekimo viešojo transporto priemonių parko atnaujinimas</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</si>
  <si>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</si>
  <si>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</si>
  <si>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</si>
  <si>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</si>
  <si>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</si>
  <si>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</si>
  <si>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</si>
  <si>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 xml:space="preserve">Kompleksinis Okuličiūtės dvarelio Anykščiuose sutvarkymas ir pritaikymas kultūrinei, meninei veiklai </t>
  </si>
  <si>
    <t xml:space="preserve">2.1.1.1.2 </t>
  </si>
  <si>
    <t xml:space="preserve">Naujų kultūros paslaugų visuomenės kultūriniams poreikiams tenkinti sukūrimas Utenos meno mokykloje </t>
  </si>
  <si>
    <t>2.1.1.1.3</t>
  </si>
  <si>
    <t>Atgailos kanauninkų vienuolyno ansamblio (u.k. 987) vienuolyno namo (u.k. 25029) Videniškių km. kapitalinis remontas ir pritaikymas Videniškių vienuolyno amatų centro ir bendruomenės poreikiams</t>
  </si>
  <si>
    <t>2.1.1.1.4</t>
  </si>
  <si>
    <t>Valstybės saugomo kultūros paveldo objekto – Antazavės dvaro aktualizavimas</t>
  </si>
  <si>
    <t>2.1.2</t>
  </si>
  <si>
    <t>Uždavinys: Plėtoti turizmo išteklių ir paslaugų rinkodarą</t>
  </si>
  <si>
    <t>2.1.2.1</t>
  </si>
  <si>
    <t>Priemonė: Savivaldybes jungiančių turizmo trasų ir turizmo maršrutų informacinės infrastruktūros plėtra</t>
  </si>
  <si>
    <t xml:space="preserve">2.1.2.1.1 </t>
  </si>
  <si>
    <t xml:space="preserve">Rytų Aukštaitijos miestai ir miesteliai – informavimo apie lankytinas vietas stiprinimas ženklinimo priemonėmis </t>
  </si>
  <si>
    <t xml:space="preserve">2.2 </t>
  </si>
  <si>
    <t>Tikslas: Darnaus išteklių naudojimo skatinimas</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</si>
  <si>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</si>
  <si>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</si>
  <si>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</si>
  <si>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</si>
  <si>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</si>
  <si>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Vandens tiekimo ir nuotekų tvarkymo infrastruktūros plėtra Ignalinos rajone</t>
  </si>
  <si>
    <t>2.2.1.1.2</t>
  </si>
  <si>
    <t>Vandens tiekimo ir nuotekų tvarkymo infrastruktūros plėtra ir rekonstravimas Zarasų rajono savivaldybėje</t>
  </si>
  <si>
    <t>2.2.1.1.3</t>
  </si>
  <si>
    <t xml:space="preserve">Vandens tiekimo ir nuotekų tinklų rekonstravimas Visagine </t>
  </si>
  <si>
    <t>2.2.1.1.4</t>
  </si>
  <si>
    <t>Vandens tiekimo ir nuotekų tvarkymo infrastruktūros plėtra ir rekonstrukcija Anykščių r. sav. Kurklių miestelyje</t>
  </si>
  <si>
    <t>2.2.1.1.5</t>
  </si>
  <si>
    <t>Vandens tiekimo ir nuotekų   tvarkymo infrastruktūros plėtra ir rekonstrukcija Molėtų rajone</t>
  </si>
  <si>
    <t>2.2.1.1.6</t>
  </si>
  <si>
    <t>2.2.1.2</t>
  </si>
  <si>
    <t>Priemonė: Paviršinių nuotekų sistemų tvarkymas</t>
  </si>
  <si>
    <t>2.2.1.2.1</t>
  </si>
  <si>
    <t>Paviršinių nuotekų tinklų ir jiems priklausančios infrastruktūros rekonstrukcija ir plėtra Utenos mieste</t>
  </si>
  <si>
    <t>2.2.1.2.2</t>
  </si>
  <si>
    <t>Inžinerinių paviršinių nuotekų surinkimo ir šalinimo tinklų rekonstravimas Visagino g. atkarpoje nuo Parko iki Vilties g.</t>
  </si>
  <si>
    <t>2.2.1.3</t>
  </si>
  <si>
    <t>Priemonė: Komunalinių atliekų tvarkymo infrastruktūros plėtra</t>
  </si>
  <si>
    <t>2.2.1.3.1</t>
  </si>
  <si>
    <t>Komunalinių atliekų tvarkymo infrastruktūros plėtra Visagino savivaldybėje</t>
  </si>
  <si>
    <t>2.2.1.3.2</t>
  </si>
  <si>
    <t>Konteinerinių aikštelių įrengimas ( rekonstrukcija) Ignalinos r. savivaldybėje ir atliekų surinkimo konteinerių konteinerinėms aikštelėms įsigijimas</t>
  </si>
  <si>
    <t>2.2.1.3.3</t>
  </si>
  <si>
    <t>Komunalinių atliekų tvarkymo infrastruktūros plėtra Anykščių rajono savivaldybėje</t>
  </si>
  <si>
    <t>2.2.1.3.4</t>
  </si>
  <si>
    <t>Molėtų rajono komunalinių atliekų tvarkymo infrastruktūros plėtra</t>
  </si>
  <si>
    <t>2.2.1.3.5</t>
  </si>
  <si>
    <t>Komunalinių atliekų tvarkymo infrastruktūros plėtra Zarasų rajone</t>
  </si>
  <si>
    <t>2.2.1.3.6</t>
  </si>
  <si>
    <t>Komunalinių atliekų tvarkymo infrastruktūros plėtra Utenos rajone</t>
  </si>
  <si>
    <t xml:space="preserve"> </t>
  </si>
  <si>
    <t>2.2.2</t>
  </si>
  <si>
    <t>Uždavinys: Gerinti regiono kraštovaizdžio tvarkymo ir apsaugos efektyvumą</t>
  </si>
  <si>
    <t>2.2.2.1</t>
  </si>
  <si>
    <t>Priemonė: Kraštovaizdžio apsauga</t>
  </si>
  <si>
    <t>2.2.2.1.1</t>
  </si>
  <si>
    <t>Zarasų rajono savivaldybės bendrųjų planų koregavimas</t>
  </si>
  <si>
    <t>2.2.2.1.2</t>
  </si>
  <si>
    <t>Bešeimininkių apleistų, kraštovaizdį darkančių statinių likvidavimas Molėtų rajono savivaldybėje</t>
  </si>
  <si>
    <t>2.2.2.1.3</t>
  </si>
  <si>
    <t>Kraštovaizdžio formavimas ir ekologinės būklės gerinimas Zarasų rajone</t>
  </si>
  <si>
    <t>2.2.2.1.4</t>
  </si>
  <si>
    <t>Želdynų teritorijos formavimas ir kraštovaizdžio būklės gerinimas Utenos mieste</t>
  </si>
  <si>
    <t>2.2.2.1.5</t>
  </si>
  <si>
    <t>,,Anykščių rajono kraštovaizdžio estetinio potencialo didinimas likviduojant bešeimininkius  kraštovaizdį darkančius statinius“</t>
  </si>
  <si>
    <t>2.2.2.1.6</t>
  </si>
  <si>
    <t>Kraštovaizdžio formavimas ir ekologinės būklės gerinimas Anykščių rajono savivaldybėje</t>
  </si>
  <si>
    <t>2.2.2.1.7</t>
  </si>
  <si>
    <t>Visagino miesto kraštovaizdžio formavimas, ekologinės būklės gerinimas ir želdynų tvarkymas (kūrimas) gamtinio karkaso teritorijose</t>
  </si>
  <si>
    <t>2.2.2.1.8</t>
  </si>
  <si>
    <t>Utenos rajono kraštovaizdžio estetinio potencialo didinimas likviduojant bešeimininkius apleistus, kraštovaizdį darkančius statinius</t>
  </si>
  <si>
    <t>2.2.2.1.9</t>
  </si>
  <si>
    <t xml:space="preserve">Kraštovaizdžio planavimas, tvarkymas ir būklės gerinimas Molėtų rajone </t>
  </si>
  <si>
    <t>2.2.2.1.10</t>
  </si>
  <si>
    <t>Kraštovaizdžio formavimas, pažeistų žemių tvarkymas Ignalinos rajone ir bendrųjų planų tikslinimas</t>
  </si>
  <si>
    <t xml:space="preserve">2.3 </t>
  </si>
  <si>
    <t>Tikslas: Verslo ir investicijų skatinimas bei pramonės potencialo skatinimas</t>
  </si>
  <si>
    <t>2.3.1</t>
  </si>
  <si>
    <t>Uždavinys: Sukurti infrastruktūrą ir palankią aplinką vidaus ir užsienio investuotojams</t>
  </si>
  <si>
    <t>2.3.1.1</t>
  </si>
  <si>
    <t>Priemonė: Sukurti ir (arba) išplėtoti pramoninių parkų infrastruktūrą ir taip sudaryti sąlygas pritraukti tiesioginių užsienio investicijų sumanios specializacijos srityse (valstybinė SMART PARK LT)</t>
  </si>
  <si>
    <t>2.3.1.1.1</t>
  </si>
  <si>
    <t xml:space="preserve">Investicijos į Visagine kuriamo pramoninio parko (SMART PARK) inžinerinius tinklus ir susisiekimo komunikacijas bei pramoninio parko rinkodarą </t>
  </si>
  <si>
    <t>2.3.2</t>
  </si>
  <si>
    <t>Uždavinys: Skatinti bendruomeninį-socialinį verslą</t>
  </si>
  <si>
    <t>2.3.2.1</t>
  </si>
  <si>
    <t>Priemonė: konkursinė, VVG strategijų įgyvendinimas</t>
  </si>
  <si>
    <t>3.1.</t>
  </si>
  <si>
    <t>Tikslas: Mokymosi visą gyvenimą ir kūrybiškumo skatinimas</t>
  </si>
  <si>
    <t>3.1.1</t>
  </si>
  <si>
    <t>Uždavinys: Gerinti švietimo kokybę, modernizuojant švietimo infrastruktūrą</t>
  </si>
  <si>
    <t>3.1.1.1.</t>
  </si>
  <si>
    <t>Priemonė: Ikimokyklinio ir priešmokyklinio ugdymo prieinamumo didinimas</t>
  </si>
  <si>
    <t>3.1.1.1.1</t>
  </si>
  <si>
    <t xml:space="preserve">Anykščių vaikų lopšelio-darželio „Eglutė“ modernizavimas </t>
  </si>
  <si>
    <t>3.1.1.1.2</t>
  </si>
  <si>
    <t>Utenos vaikų lopšelio darželio „Šaltinėlis“ vidaus patalpų modernizavimas</t>
  </si>
  <si>
    <t>3.1.1.2</t>
  </si>
  <si>
    <t>Priemonė:  Mokyklų tinklo efektyvumo didinimas</t>
  </si>
  <si>
    <t>3.1.1.2.1</t>
  </si>
  <si>
    <t>Anykščių miesto A.Vienuolio progimnazijos modernizavimas (vidaus erdvių remontas ir aprūpinimas įranga)</t>
  </si>
  <si>
    <t>3.1.1.2.2</t>
  </si>
  <si>
    <t xml:space="preserve">„Kūrybiškumą skatinančių edukacinių erdvių kūrimas Molėtų gimnazijos vidaus patalpose“ </t>
  </si>
  <si>
    <t>3.1.1.2.3</t>
  </si>
  <si>
    <t xml:space="preserve">„Edukacinių erdvių kūrimas Ignalinos Česlovo Kudabos progimnazijoje“ </t>
  </si>
  <si>
    <t>3.1.2</t>
  </si>
  <si>
    <t>Uždavinys: Plėtoti neformalaus ugdymosi galimybes</t>
  </si>
  <si>
    <t>3.1.2.1</t>
  </si>
  <si>
    <t>Priemonė: Neformaliojo švietimo infrastruktūros tobulinimas</t>
  </si>
  <si>
    <t>3.1.2.1.1</t>
  </si>
  <si>
    <t>Vaikų ir jaunimo neformalaus ugdymosi galimybių plėtra Anykščių kūno kultūros ir sporto centrui priklausančiuose A. Vienuolio progimnazijos patalpose</t>
  </si>
  <si>
    <t xml:space="preserve">3.1.2.1.2 </t>
  </si>
  <si>
    <t>Zarasų sporto centro erdvių atnaujinimas</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</si>
  <si>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</si>
  <si>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</si>
  <si>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</si>
  <si>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</si>
  <si>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</si>
  <si>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</si>
  <si>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3.2.1.2</t>
  </si>
  <si>
    <t>Priemonė: Priemonių, gerinančių ambulatorinių sveikatos priežiūros paslaugų prieinamumą tuberkulioze sergantiems asmenims, įgyvendinimas</t>
  </si>
  <si>
    <t>3.2.1.2.1</t>
  </si>
  <si>
    <t>Tuberkuliozės gydymo skatinimas Anykščių rajono
savivaldybėje</t>
  </si>
  <si>
    <t>3.2.1.2.2</t>
  </si>
  <si>
    <t>Sergamumo ir mirtingumo mažinimas nuo tuberkuliozės Ignalinos rajone</t>
  </si>
  <si>
    <t>3.2.1.2.3</t>
  </si>
  <si>
    <t>Paslaugų prieinamumo priemonių tuberkulioze sergantiems asmenims įgyvendinimas  Molėtų rajone</t>
  </si>
  <si>
    <t>3.2.1.2.4</t>
  </si>
  <si>
    <t>Priemonių, gerinančių ambulatorinių sveikatos priežiūros paslaugų prieinamumą tuberkulioze sergantiems asmenims, įgyvendinimas Utenos rajone</t>
  </si>
  <si>
    <t>3.2.1.2.5</t>
  </si>
  <si>
    <t>Socialinės paramos priemonių įdiegimas tuberkulioze sergantiems pacientams Visagino mieste</t>
  </si>
  <si>
    <t>3.2.1.2.6</t>
  </si>
  <si>
    <t>Priemonių, gerinančių ambulatorinių sveikatos priežiūros paslaugų prieinamumą tuberkulioze sergantiems asmenims, įgyvendinimas Zarasų rajono savivaldybėje</t>
  </si>
  <si>
    <t>3.2.2</t>
  </si>
  <si>
    <t>Uždavinys: Skatinti sveiką gyvenseną ir visuomenės sveikatos raštingumą</t>
  </si>
  <si>
    <t>3.2.2.1</t>
  </si>
  <si>
    <t>Priemonė: Sveikos gyvensenos skatinimas regioniniu lygiu</t>
  </si>
  <si>
    <t>3.2.2.1.1</t>
  </si>
  <si>
    <t>Sveikos gyvensenos skatinimas Anykščių rajono savivaldybėje</t>
  </si>
  <si>
    <t>3.2.2.1.2</t>
  </si>
  <si>
    <t>Sveikos gyvensenos skatinimas Molėtų rajono savivaldybėje</t>
  </si>
  <si>
    <t>3.2.2.1.3</t>
  </si>
  <si>
    <t>Sveikos gyvensenos skatinimas Utenos rajone</t>
  </si>
  <si>
    <t>3.2.2.1.4.</t>
  </si>
  <si>
    <t>Sveikos gyvensenos skatinimas Zarasų rajono savivaldybėje</t>
  </si>
  <si>
    <t>3.2.2.1.5.</t>
  </si>
  <si>
    <t>Sveikos gyvensenos skatinimas Ignalinos rajone</t>
  </si>
  <si>
    <t>3.2.2.1.6.</t>
  </si>
  <si>
    <t>Vaikų  sveikos  gyvensenos  skatinimas Visagino savivaldybėje</t>
  </si>
  <si>
    <t>3.2.3</t>
  </si>
  <si>
    <t>Uždavinys: Plėtoti socialinių paslaugų infrastruktūrą ir socialinio būsto fondą bei didinti jų prieinamumą</t>
  </si>
  <si>
    <t>3.2.3.1</t>
  </si>
  <si>
    <t>Priemonė: Socialinių paslaugų infrastruktūros plėtra</t>
  </si>
  <si>
    <t>3.2.3.1.1</t>
  </si>
  <si>
    <t>Anykščių rajono Svėdasų senelių globos namų modernizavimas</t>
  </si>
  <si>
    <t>3.2.3.1.2</t>
  </si>
  <si>
    <t>Utenos rajono savivaldybės Leliūnų socialinės globos namų modernizavimas</t>
  </si>
  <si>
    <t>3.2.3.1.3</t>
  </si>
  <si>
    <t>Zarasų rajono socialinių paslaugų centro nakvynės namų modernizavimas ir plėtra</t>
  </si>
  <si>
    <t>3.2.3.1.4</t>
  </si>
  <si>
    <t>Apleisto (nenaudojamo) buvusio visuomeninio pastato konversija ir pritaikymas savarankiško gyvenimo namų Visagine įkūrimas</t>
  </si>
  <si>
    <t>3.2.3.2</t>
  </si>
  <si>
    <t>Priemonė: Socialinio būsto fondo plėtra</t>
  </si>
  <si>
    <t>3.2.3.2.1</t>
  </si>
  <si>
    <t>Pramoninio pastato Ignalinoje, Gėlių g. Nr. 13 pritaikomo socialiniam būstui pertvarkymo užbaigimas ir socialinių būstų įsigijimas</t>
  </si>
  <si>
    <t>3.2.3.2.2</t>
  </si>
  <si>
    <t>Bendrabučio tipo pastato, esančio Visagine, Kosmoso 28, patalpų pritaikymas socialinio būsto įrengimui</t>
  </si>
  <si>
    <t>3.2.3.2.3</t>
  </si>
  <si>
    <t>Socialinio būsto fondo plėtra Anykščių rajono savivaldybėje</t>
  </si>
  <si>
    <t>3.2.3.2.4</t>
  </si>
  <si>
    <t>Socialinio būsto fondo plėtra Molėtų rajono savivaldybėje</t>
  </si>
  <si>
    <t>3.2.3.2.5</t>
  </si>
  <si>
    <t>Socialinio būsto fondo plėtra Zarasų rajono savivaldybėje</t>
  </si>
  <si>
    <t>3.2.3.2.6</t>
  </si>
  <si>
    <t>Socialinio būsto fondo plėtra Utenos rajono savivaldybėje</t>
  </si>
  <si>
    <t>3.2.4</t>
  </si>
  <si>
    <t>Uždavinys: Plėtoti kultūros paslaugas ir infrastruktūrą</t>
  </si>
  <si>
    <t>3.2.4.1</t>
  </si>
  <si>
    <t>Priemonė: Modernizuoti savivaldybių kultūros infrastuktūrą</t>
  </si>
  <si>
    <t>3.2.4.1.1</t>
  </si>
  <si>
    <t xml:space="preserve">Ignalinos rajono savivaldybės viešosios bibliotekos infrastruktūros pritaikymas vietos bendruomenės poreikiams </t>
  </si>
  <si>
    <t xml:space="preserve">3.2.4.1.2 </t>
  </si>
  <si>
    <t xml:space="preserve">Renginių infrastruktūros atnaujinimas Zarasų miesto Didžiojoje saloje </t>
  </si>
  <si>
    <t>3.2.4.1.3</t>
  </si>
  <si>
    <t>Molėtų miesto laisvalaikio ir pramogų infrastruktūros atnaujinimas ir plėtra Labanoro g. 1b, Molėtai</t>
  </si>
  <si>
    <t>3.2.4.1.4</t>
  </si>
  <si>
    <t>Buvusios Sedulinos mokyklos pastato pritaikymas Visagino kultūros centro ir bendruomenės reikmėms, įrengiant Kultūros, turizmo ir kūrybinio verslo miestą po vienu stogu.</t>
  </si>
  <si>
    <t>3.2.4.1.5.</t>
  </si>
  <si>
    <t>Lietuvos etnokosmologijos muziejaus paslaugų plėtros baigiamasis etapas</t>
  </si>
  <si>
    <t>3.2.4.1.6</t>
  </si>
  <si>
    <t>Utenos A. ir M. Miškinių viešosios bibliotekos modernizavimas</t>
  </si>
  <si>
    <t>3.2.5</t>
  </si>
  <si>
    <t>Uždavinys: Gerinti viešąjį valdymą</t>
  </si>
  <si>
    <t>3.2.5.1</t>
  </si>
  <si>
    <t>Priemonė: Paslaugų ir asmenų aptarnavimo kokybės gerinimas savivaldybėse</t>
  </si>
  <si>
    <t>3.2.5.1.1</t>
  </si>
  <si>
    <t>Paslaugų ir asmenų aptarnavimo kokybės gerinimas Visagino  savivaldybėje</t>
  </si>
  <si>
    <t>3.2.5.1.2</t>
  </si>
  <si>
    <t>Paslaugų ir asmenų aptarnavimo kokybės gerinimas Molėtų rajono savivaldybėje</t>
  </si>
  <si>
    <t>3.2.5.1.3</t>
  </si>
  <si>
    <t>Paslaugų ir asmenų aptarnavimo kokybės gerinimas Zarasų rajono savivaldybėje</t>
  </si>
  <si>
    <t>3.2.5.1.4</t>
  </si>
  <si>
    <t>Paslaugų ir asmenų aptarnavimo kokybės gerinimas Utenos rajono savivaldybėje, I etapas</t>
  </si>
  <si>
    <t>3.2.5.1.5</t>
  </si>
  <si>
    <t>Paslaugų ir asmenų aptarnavimo kokybės gerinimas Anykščių savivaldybėje</t>
  </si>
  <si>
    <t>3.2.5.1.6</t>
  </si>
  <si>
    <t>Paslaugų ir asmenų aptarnavimo kokybės gerinimas Ignalinos rajono savivaldybėje</t>
  </si>
  <si>
    <t>3.2.5.1.7</t>
  </si>
  <si>
    <t>Paslaugų ir asmenų aptarnavimo kokybės gerinimas Utenos rajono savivaldybėje, II etapas</t>
  </si>
  <si>
    <t>Priemonė: Miestų kompleksinė plėtra</t>
  </si>
  <si>
    <t xml:space="preserve">1.1.1.1.4   </t>
  </si>
  <si>
    <t>1.1.1.1.9</t>
  </si>
  <si>
    <t xml:space="preserve">1.1.1.1.10 </t>
  </si>
  <si>
    <t xml:space="preserve">1.1.1.1.14 </t>
  </si>
  <si>
    <t>Anykščių rajono savivaldybės administracija</t>
  </si>
  <si>
    <t>Lietuvos Respublikos vidaus reikalų ministerija</t>
  </si>
  <si>
    <t>Anykščių rajono savivaldybė</t>
  </si>
  <si>
    <t xml:space="preserve">07.1.1-CPVA-R-905 </t>
  </si>
  <si>
    <t>R</t>
  </si>
  <si>
    <t>ITI</t>
  </si>
  <si>
    <t xml:space="preserve">Anykščių miesto viešųjų erdvių sistemos pertvarkymas (II etapas) </t>
  </si>
  <si>
    <t>Anykščių  rajono savivaldybė</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</si>
  <si>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</si>
  <si>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</si>
  <si>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</si>
  <si>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</si>
  <si>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</si>
  <si>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ITI </t>
  </si>
  <si>
    <t xml:space="preserve">- </t>
  </si>
  <si>
    <t>Molėtų rajono savivaldybės administracija</t>
  </si>
  <si>
    <t>Molėtų  rajono savivaldybė</t>
  </si>
  <si>
    <t>Molėtų miesto centrinės dalies kompleksinis sutvarkymas (II etapas)</t>
  </si>
  <si>
    <t xml:space="preserve">Zarasų rajono savivaldybės administracija </t>
  </si>
  <si>
    <t xml:space="preserve">Zarasų rajono savivaldybė </t>
  </si>
  <si>
    <t xml:space="preserve">Viešųjų erdvių Zarasų miesto Didžiojoje saloje sutvarkymas </t>
  </si>
  <si>
    <t xml:space="preserve">Zarasų Pauliaus Širvio progimnazijos sporto aikštyno įrengimas </t>
  </si>
  <si>
    <t>2018.03</t>
  </si>
  <si>
    <t>2018.06</t>
  </si>
  <si>
    <t>2017.05.</t>
  </si>
  <si>
    <t>2017.08</t>
  </si>
  <si>
    <t>2017.01</t>
  </si>
  <si>
    <t>2017.04</t>
  </si>
  <si>
    <t>2019.02</t>
  </si>
  <si>
    <t>2019.06</t>
  </si>
  <si>
    <t>2016.10</t>
  </si>
  <si>
    <t>2018.10</t>
  </si>
  <si>
    <t>2018.12</t>
  </si>
  <si>
    <t>2018.02</t>
  </si>
  <si>
    <t>2018.05</t>
  </si>
  <si>
    <t>2017.11</t>
  </si>
  <si>
    <t>2018.04</t>
  </si>
  <si>
    <t>2016.12</t>
  </si>
  <si>
    <t>2018.07</t>
  </si>
  <si>
    <t>2017.07</t>
  </si>
  <si>
    <t>2017.03</t>
  </si>
  <si>
    <t>2017.04.</t>
  </si>
  <si>
    <t>2016.11</t>
  </si>
  <si>
    <t>2017.05</t>
  </si>
  <si>
    <t>2017.12</t>
  </si>
  <si>
    <t>R099905-290000-1119</t>
  </si>
  <si>
    <t>Priemonė: Pereinamojo laikotarpio tikslinių teritorijų vystymas</t>
  </si>
  <si>
    <t>Ignalinos rajono savivaldybės administracija</t>
  </si>
  <si>
    <t>Ignalinos  rajono savivaldybė</t>
  </si>
  <si>
    <t xml:space="preserve">07.1.1-CPVA-R-903 </t>
  </si>
  <si>
    <t>Visagino savivaldybės administracija</t>
  </si>
  <si>
    <t>Visagino  savivaldybė</t>
  </si>
  <si>
    <t xml:space="preserve">07.1.1-CPVA-V-902 </t>
  </si>
  <si>
    <t>V</t>
  </si>
  <si>
    <t>Utenos rajono savivaldybės administracija</t>
  </si>
  <si>
    <t>Utenos rajono savivaldybė</t>
  </si>
  <si>
    <t>2016.04</t>
  </si>
  <si>
    <t>2016.08</t>
  </si>
  <si>
    <t>2017.02</t>
  </si>
  <si>
    <t>2015.11</t>
  </si>
  <si>
    <t>2016.01</t>
  </si>
  <si>
    <t>2016.06</t>
  </si>
  <si>
    <t>R099905-282900-1110</t>
  </si>
  <si>
    <t>R099905-282900-1111</t>
  </si>
  <si>
    <t>R099905-342900-1101</t>
  </si>
  <si>
    <t>R099905-280000-1102</t>
  </si>
  <si>
    <t>R099905-320000-1103</t>
  </si>
  <si>
    <t>R099905-302804-1104</t>
  </si>
  <si>
    <t>R099905-290000-1105</t>
  </si>
  <si>
    <t>R099905-290000-1106</t>
  </si>
  <si>
    <t>R099905-293400-1107</t>
  </si>
  <si>
    <t>R099905-290000-1108</t>
  </si>
  <si>
    <t>R099905-281900-1112</t>
  </si>
  <si>
    <t>R099905-300000-1113</t>
  </si>
  <si>
    <t>R099905-243200-1114</t>
  </si>
  <si>
    <t>R099903-300000-1115</t>
  </si>
  <si>
    <t>R099902-300000-1117</t>
  </si>
  <si>
    <t>R099902-310000-1116</t>
  </si>
  <si>
    <t>Ignalinos rajono savivaldybė</t>
  </si>
  <si>
    <t xml:space="preserve">08.2.1-CPVA-R-908 </t>
  </si>
  <si>
    <t>2016.09</t>
  </si>
  <si>
    <t>1.1.2.1</t>
  </si>
  <si>
    <t>Priemonė:Vietinių kelių vystymas</t>
  </si>
  <si>
    <t>Lietuvos Respublikos susisiekimo ministerija</t>
  </si>
  <si>
    <t xml:space="preserve">06.2.1-TID-R-511 </t>
  </si>
  <si>
    <t>Zarasų rajono savivaldybės administracija</t>
  </si>
  <si>
    <t>Zarasų  rajono savivaldybė</t>
  </si>
  <si>
    <t xml:space="preserve">Aušros gatvės dalies nuo Gedimino ir Tauragnų gatvių sankryžos iki Žaliosios gatvės Utenoje rekonstrukcija. </t>
  </si>
  <si>
    <t>Utenos  rajono savivaldybė</t>
  </si>
  <si>
    <t>28585,51</t>
  </si>
  <si>
    <t>Visagino   savivaldybė</t>
  </si>
  <si>
    <t>2018.09</t>
  </si>
  <si>
    <t xml:space="preserve">2016.11 </t>
  </si>
  <si>
    <t>2017.09</t>
  </si>
  <si>
    <t>2016-10</t>
  </si>
  <si>
    <t>R095511-110000-1201</t>
  </si>
  <si>
    <t xml:space="preserve"> R099908-293300-1118</t>
  </si>
  <si>
    <t>R095511-120000-1202</t>
  </si>
  <si>
    <t>R095511-120000-1207</t>
  </si>
  <si>
    <t>R095511-120000-1208</t>
  </si>
  <si>
    <t>Dviračių ir pėsčiųjų takų infrastruktūros Utenos mieste plėtra, siekiant pagerinti Pramonės rajono pasiekiamumą.</t>
  </si>
  <si>
    <t xml:space="preserve">Pėsčiųjų ir dviračių takų plėtra Griežto ežero pakrantėje nuo Vytauto gatvės iki Griežto gatvės </t>
  </si>
  <si>
    <t xml:space="preserve">1.2.2.1.5 </t>
  </si>
  <si>
    <t xml:space="preserve">04.5.1-TID-R-516 </t>
  </si>
  <si>
    <t xml:space="preserve">Lietuvos Respublikos susisiekimo ministerija </t>
  </si>
  <si>
    <t>2018.01</t>
  </si>
  <si>
    <t>2017.10</t>
  </si>
  <si>
    <t>R095516-190000-1209</t>
  </si>
  <si>
    <t>R095516-190000-1210</t>
  </si>
  <si>
    <t>R095516-190000-1211</t>
  </si>
  <si>
    <t>R095516-190000-1212</t>
  </si>
  <si>
    <t xml:space="preserve">04.5.1.-TID-R-514 </t>
  </si>
  <si>
    <t xml:space="preserve">04.5.1.-TID-V-513 </t>
  </si>
  <si>
    <t>2015.12</t>
  </si>
  <si>
    <t>Darnaus judumo infrastruktūros įrengimas Visagino mieste</t>
  </si>
  <si>
    <t>04.5.1.-TID-R-514 “</t>
  </si>
  <si>
    <t>Utenos rajono Savivaldybės administracija</t>
  </si>
  <si>
    <t xml:space="preserve">04.5.1-TID-V-513 </t>
  </si>
  <si>
    <t>2355,00</t>
  </si>
  <si>
    <t>2016.10.</t>
  </si>
  <si>
    <t>2016.03</t>
  </si>
  <si>
    <t>R095514-190000-1215</t>
  </si>
  <si>
    <t>R095513-500000-1216</t>
  </si>
  <si>
    <t xml:space="preserve">04.5.1-TID-R-518 </t>
  </si>
  <si>
    <t>Utenos rajono vietinio susisiekimo viešojo transporto priemonių parko atnaujinimas</t>
  </si>
  <si>
    <t>R095518-100000-1219</t>
  </si>
  <si>
    <t>Lietuvos Respublikos kultūros ministerija</t>
  </si>
  <si>
    <t xml:space="preserve">05.4.1-CPVA-R-302 </t>
  </si>
  <si>
    <t xml:space="preserve">Pareiškėjas –Utenos rajono savivaldybės administracija, partneris – Utenos dailės mokykla </t>
  </si>
  <si>
    <t xml:space="preserve">Lietuvos Respublikos kultūros ministerija </t>
  </si>
  <si>
    <t xml:space="preserve">Utenos rajono savivaldybė </t>
  </si>
  <si>
    <t xml:space="preserve">05.4.1-CPVA-R-302 „ </t>
  </si>
  <si>
    <t>Atgailos kanauninkų vienuolyno ansamblio (u.k. 987) vienuolyno namo (u.k. 25029) Videniškių km. kapitalinis remontas ir pritaikymas Videniškių vienuolyno amatų centro ir bendruomenės poreikiams poreikiams</t>
  </si>
  <si>
    <t>Molėtų rajono savivaldybė</t>
  </si>
  <si>
    <t xml:space="preserve">05.4.1-CPVA-R-302  </t>
  </si>
  <si>
    <t xml:space="preserve">2016.12 </t>
  </si>
  <si>
    <t xml:space="preserve">2017.06 </t>
  </si>
  <si>
    <t>2019.</t>
  </si>
  <si>
    <t>R093302-442942-2101</t>
  </si>
  <si>
    <t>R093302-440000-2102</t>
  </si>
  <si>
    <t>R093302-440000-2103</t>
  </si>
  <si>
    <t>R093302-442942-2104</t>
  </si>
  <si>
    <t xml:space="preserve">Pareiškėjas – Utenos rajono savivaldybės administracija. Partneriai: Anykščių rajono savivaldybės administracija, Ignalinos rajono savivaldybės administracija, Molėtų rajono savivaldybės administracija, Zarasų rajono savivaldybės administracija ir Visagino savivaldybės administracija </t>
  </si>
  <si>
    <t xml:space="preserve">Lietuvos Respublikos ūkio ministerija </t>
  </si>
  <si>
    <t xml:space="preserve">Utenos regionas </t>
  </si>
  <si>
    <t xml:space="preserve">Nr. 05.4.1-LVPA-R-821 </t>
  </si>
  <si>
    <t>2016.07</t>
  </si>
  <si>
    <t>R098821-420000-2105</t>
  </si>
  <si>
    <t>Tikslas; darnaus išteklių naudojimo wskatinimas</t>
  </si>
  <si>
    <t xml:space="preserve">Vandens tiekimo ir nuotekų tvarkymo infrastruktūros plėtra Ignalinos rajone </t>
  </si>
  <si>
    <t>UAB „Ignalinos vanduo“</t>
  </si>
  <si>
    <t>Lietuvos Respublikos aplinkos ministerija</t>
  </si>
  <si>
    <t xml:space="preserve">05.3.2-APVA-R-014 </t>
  </si>
  <si>
    <t xml:space="preserve">Vandens tiekimo ir nuotekų tvarkymo infrastruktūros plėtra ir rekonstravimas Zarasų rajono savivaldybėje </t>
  </si>
  <si>
    <t>UAB „Zarasų vandenys“</t>
  </si>
  <si>
    <t>VĮ „Visagino energija“</t>
  </si>
  <si>
    <t xml:space="preserve">UAB ,,Anykščių vandenys“ </t>
  </si>
  <si>
    <t xml:space="preserve"> Vandens tiekimo ir nuotekų tvarkymo infrastruktūros plėtra ir rekonstrukcija Molėtų rajone </t>
  </si>
  <si>
    <t>UAB Molėtų vanduo</t>
  </si>
  <si>
    <t>UAB "Utenos vandenys"</t>
  </si>
  <si>
    <t>2.2</t>
  </si>
  <si>
    <t>2016.05</t>
  </si>
  <si>
    <t>R090014-060700-2201</t>
  </si>
  <si>
    <t>R090014-060000-2203</t>
  </si>
  <si>
    <t>UAB „Utenos komunalininkas“</t>
  </si>
  <si>
    <t>05.1.1-APVA-R-007</t>
  </si>
  <si>
    <t xml:space="preserve">UAB „Visagino būstas“, partneris Visagino savivaldybės administracija </t>
  </si>
  <si>
    <t xml:space="preserve">05.1.1-APVA-R-007 </t>
  </si>
  <si>
    <t>R090007-080000-2207</t>
  </si>
  <si>
    <t>R090007-080000-2208</t>
  </si>
  <si>
    <t xml:space="preserve">05.2.1-APVA-R-008 </t>
  </si>
  <si>
    <t>Ignalinos rajono savivaldybės administracija, partneris – UAB Utenos regiono atliekų tvarkymo centras</t>
  </si>
  <si>
    <t xml:space="preserve">05.2.1-APV-R-008 </t>
  </si>
  <si>
    <t>Anykščių rajono savivaldybės administracija, partneris – UAB Utenos regiono atliekų tvarkymo centras</t>
  </si>
  <si>
    <t>Molėtų rajono savivaldybės administracija, partneris – UAB Utenos regiono atliekų tvarkymo centras</t>
  </si>
  <si>
    <t>Zarasų rajono savivaldybės administracija, partneris – UAB Utenos regiono atliekų tvarkymo centras</t>
  </si>
  <si>
    <t xml:space="preserve">Lietuvos respublikos aplinkos ministerija </t>
  </si>
  <si>
    <t>2017.06</t>
  </si>
  <si>
    <t>2016.09.</t>
  </si>
  <si>
    <t>R090008-050000-2209</t>
  </si>
  <si>
    <t>R090008-050000-2210</t>
  </si>
  <si>
    <t>R090008-050000-2211</t>
  </si>
  <si>
    <t>R090008-050000-2212</t>
  </si>
  <si>
    <t>R090008-050000-2213</t>
  </si>
  <si>
    <t>R090008-050000-2214</t>
  </si>
  <si>
    <t>05.5.1-APVA-R-019</t>
  </si>
  <si>
    <t xml:space="preserve">05.5.1-APVA-R-019 </t>
  </si>
  <si>
    <t>2019.03</t>
  </si>
  <si>
    <t>2018.11</t>
  </si>
  <si>
    <t>2018.08</t>
  </si>
  <si>
    <t>2019.05</t>
  </si>
  <si>
    <t>R090019-380000-2215</t>
  </si>
  <si>
    <t>R090019-380000-2216</t>
  </si>
  <si>
    <t>R090019-380000-2217</t>
  </si>
  <si>
    <t>R090019-380000-2218</t>
  </si>
  <si>
    <t>R090019-380000-2219</t>
  </si>
  <si>
    <t>R090019-380000-2220</t>
  </si>
  <si>
    <t>R090019-380000-2221</t>
  </si>
  <si>
    <t>R090019-380000-2222</t>
  </si>
  <si>
    <t>R090019-380000-2223</t>
  </si>
  <si>
    <t>R090019-380000-2224</t>
  </si>
  <si>
    <t>Investicijos į Visagine kuriamo pramoninio parko (SMART PARK) inžinerinius tinklus ir susisiekimo komunikacijas bei pramoninio parko rinkodarą</t>
  </si>
  <si>
    <t xml:space="preserve">3.1 </t>
  </si>
  <si>
    <t>3.1.1.1</t>
  </si>
  <si>
    <t>Lietuvos Respublikos švietimo ir mokslo ministerija</t>
  </si>
  <si>
    <t>09.1.3-CPVA-R-705</t>
  </si>
  <si>
    <t xml:space="preserve">09.1.3-CPVA-R-705 </t>
  </si>
  <si>
    <t>R097705-230000-3101</t>
  </si>
  <si>
    <t>R097705-230000-3102</t>
  </si>
  <si>
    <t xml:space="preserve">Anykščių miesto A.Vienuolio progimnazijos modernizavimas (vidaus erdvių remontas ir aprūpinimas įranga) </t>
  </si>
  <si>
    <t xml:space="preserve">09.1.3-CPVA-R-724  </t>
  </si>
  <si>
    <t>Molėtų miestas</t>
  </si>
  <si>
    <t>R097724-220000-3103</t>
  </si>
  <si>
    <t>R097724-220000-3104</t>
  </si>
  <si>
    <t>R097724-220000-3105</t>
  </si>
  <si>
    <t>\</t>
  </si>
  <si>
    <t xml:space="preserve">Vaikų ir jaunimo neformalaus ugdymosi galimybių plėtra Anykščių kūno kultūros ir sporto centrui priklausančiuose A. Vienuolio progimnazijos patalpose </t>
  </si>
  <si>
    <t xml:space="preserve">09.13.CPVA-R-725 </t>
  </si>
  <si>
    <t xml:space="preserve">Lietuvos Respublikos švietimo ir mokslo ministerija </t>
  </si>
  <si>
    <t>R097725-240000-3106</t>
  </si>
  <si>
    <t>R097725-243200-3107</t>
  </si>
  <si>
    <t>Anykščių rajono savivaldybės pirminės sveikatos priežiūros centras</t>
  </si>
  <si>
    <t>Lietuvos Respublikos sveikatos apsaugos ministerija</t>
  </si>
  <si>
    <t>08.4.2-ESFA-R-615</t>
  </si>
  <si>
    <t>Ignalinos rajono poliklinika</t>
  </si>
  <si>
    <t>Viešoji įstaiga Molėtų r. pirminės sveikatos priežiūros centras</t>
  </si>
  <si>
    <t>VšĮ Utenos pirminės sveikatos priežiūros centras</t>
  </si>
  <si>
    <t>VšĮ Visagino pirminės sveikatos priežiūros centras</t>
  </si>
  <si>
    <t>Visagino savivaldybė</t>
  </si>
  <si>
    <t>Zarasų rajono savivaldybės viešoji įstaiga Pirminės sveikatos priežiūros centras</t>
  </si>
  <si>
    <t>Zarasų rajono  savivaldybė</t>
  </si>
  <si>
    <t>R096615-470000-3201</t>
  </si>
  <si>
    <t>R096615-470000-3202</t>
  </si>
  <si>
    <t>R096615-470000-3203</t>
  </si>
  <si>
    <t>R096615-470000-3204</t>
  </si>
  <si>
    <t>R096615-470000-3205</t>
  </si>
  <si>
    <t>R096615-470000-3206</t>
  </si>
  <si>
    <t xml:space="preserve">Priemonė: Sveikos gyvensenos skatinimas regioniniu lygiu </t>
  </si>
  <si>
    <t>Anykščių rajono savivaldybės visuomenės sveikatos biuras</t>
  </si>
  <si>
    <t>Lietuvos Respublikos sveikatos apsaugos  ministerija</t>
  </si>
  <si>
    <t>08.4.2-ESFA-R-630</t>
  </si>
  <si>
    <t>–</t>
  </si>
  <si>
    <t>Molėtų rajono savivaldybės adminsitracija, partneris-Utenos rajono savivaldybės visuomenės sveikatos biuras</t>
  </si>
  <si>
    <t>Utenos rajono savivaldybės visuomenės sveikatos biuras</t>
  </si>
  <si>
    <t>Ignalinos rajono savivaldybės visuomenės sveikatos biuras, partneris-Zarasų rajono savivaldybės administracija</t>
  </si>
  <si>
    <t>Zarasų rajono savivaldybė</t>
  </si>
  <si>
    <t>Ignalinos rajono savivaldybės visuomenės sveikatos biuras</t>
  </si>
  <si>
    <t>Visagino savivaldybės administracija, partneris- Rokiškio visuomenės sveikatos biuras</t>
  </si>
  <si>
    <t>3.2.2.1.1.</t>
  </si>
  <si>
    <t>3.2.2.1.2.</t>
  </si>
  <si>
    <t>3.2.2.1.3.</t>
  </si>
  <si>
    <t>R096630-470000-3207</t>
  </si>
  <si>
    <t>R096630-470000-3208</t>
  </si>
  <si>
    <t>R096630-470000-3209</t>
  </si>
  <si>
    <t>R096630-470000-3210</t>
  </si>
  <si>
    <t>R096630-470000-32011</t>
  </si>
  <si>
    <t>R096630-470000-3212</t>
  </si>
  <si>
    <t>Lietuvos Respublikos socialinės apsaugos ir darbo ministerija</t>
  </si>
  <si>
    <t xml:space="preserve">08.1.2-CPVA-R-407 
</t>
  </si>
  <si>
    <t>Zarasų rajono socialinių paslaugų centras</t>
  </si>
  <si>
    <t>R094407-270000-3213</t>
  </si>
  <si>
    <t>R094407-270000-3214</t>
  </si>
  <si>
    <t>R094407-270000-3215</t>
  </si>
  <si>
    <t>R094407-270000-3216</t>
  </si>
  <si>
    <t xml:space="preserve">08.1.1-CPVA·R-408 </t>
  </si>
  <si>
    <t>Bendrabučio tipo pastato, esančio Visagine,  Kosmoso 28, patalpų pritaikymas socialinio būsto įrengimui</t>
  </si>
  <si>
    <t>2016.02</t>
  </si>
  <si>
    <t xml:space="preserve">2016.06  </t>
  </si>
  <si>
    <t>R094408-252600-3217</t>
  </si>
  <si>
    <t>R094408-250000-3218</t>
  </si>
  <si>
    <t>R094408-250000-3219</t>
  </si>
  <si>
    <t>R094408-262500-3220</t>
  </si>
  <si>
    <t>R094408-260000-3221</t>
  </si>
  <si>
    <t>R094408-260000-3222</t>
  </si>
  <si>
    <t xml:space="preserve">07.1.1-CPVA-R-305  </t>
  </si>
  <si>
    <t>Renginių infrastruktūros atnaujinimas Zarasų miesto Didžiojoje saloje</t>
  </si>
  <si>
    <t>Zarasų rajono savivaldybės administracija, partneris- Zarasų rajono savivaldybės kultūros centras</t>
  </si>
  <si>
    <t>263 922,88</t>
  </si>
  <si>
    <t>Visagino kultūros centras</t>
  </si>
  <si>
    <t>BĮ Lietuvos Etnokosmologijos muziejus</t>
  </si>
  <si>
    <t>Molėtų raj. savivaldybė</t>
  </si>
  <si>
    <t>Utenos A. ir M. Miškinių viešoji biblioteka</t>
  </si>
  <si>
    <t>07.1.1-CPVA-R-305</t>
  </si>
  <si>
    <t>3.2.4.1.2</t>
  </si>
  <si>
    <t>3.2.4.1.5</t>
  </si>
  <si>
    <t>R093305-330000-3223</t>
  </si>
  <si>
    <t>R093305-334300-3224</t>
  </si>
  <si>
    <t>R093305-330000-3225</t>
  </si>
  <si>
    <t>R093305-330000-3226</t>
  </si>
  <si>
    <t>R093305-330000-3227</t>
  </si>
  <si>
    <t>R093305-330000-3228</t>
  </si>
  <si>
    <t>Visagino  rajono savivaldybė</t>
  </si>
  <si>
    <t>10.1.3-ESFA-R-920</t>
  </si>
  <si>
    <t>VšĮ "Utenos verslo informacijos centras"</t>
  </si>
  <si>
    <t xml:space="preserve">10.1.3-ESFA-R-920 </t>
  </si>
  <si>
    <t>Anykščių miestas</t>
  </si>
  <si>
    <t>2018.03.</t>
  </si>
  <si>
    <t>2018.06.</t>
  </si>
  <si>
    <t>2018.12.</t>
  </si>
  <si>
    <t>2019.06.</t>
  </si>
  <si>
    <t>2019.09.</t>
  </si>
  <si>
    <t xml:space="preserve"> 3.2.5.1.3</t>
  </si>
  <si>
    <t xml:space="preserve"> 3.2.5.1.5</t>
  </si>
  <si>
    <t xml:space="preserve"> 3.2.5.1.6</t>
  </si>
  <si>
    <t>R099920-490000-3229</t>
  </si>
  <si>
    <t>R099920-490000-3230</t>
  </si>
  <si>
    <t>R099920-490000-3231</t>
  </si>
  <si>
    <t>R099920-490000-3232</t>
  </si>
  <si>
    <t>R099920-490000-3233</t>
  </si>
  <si>
    <t>R099920-490000-3234</t>
  </si>
  <si>
    <t>R099920-490000-3235</t>
  </si>
  <si>
    <t>P.B.238</t>
  </si>
  <si>
    <t xml:space="preserve">Sukurtos arba atnaujintos atviros erdvės miestų vietovėse, m2 </t>
  </si>
  <si>
    <t>P.B.239</t>
  </si>
  <si>
    <t xml:space="preserve">Pastatyti arba atnaujinti viešieji arba komerciniai pastatai miestų vietovėse, m2 </t>
  </si>
  <si>
    <t>Sukurtos arba atnaujintos atviros erdvės miestų vietovėse, m2</t>
  </si>
  <si>
    <t>Sukurtos arba atnaujintos atviros erdvės miestų vietovėse</t>
  </si>
  <si>
    <t>Pastatyti arba atnaujinti viešieji arba komerciniai pastatai miesto vietovėje –m2;</t>
  </si>
  <si>
    <t>P.S.364</t>
  </si>
  <si>
    <t>Naujos atviros erdvės vietovėse nuo 1 iki 6 tūkst. gyv. (išskyrus savivaldybių centrus) (kv. m)</t>
  </si>
  <si>
    <t>P.S.365</t>
  </si>
  <si>
    <t>Atnaujinti ir pritaikyti naujai paskirčiai pastatai ir statiniai kaimo vietovėse, kv. m.</t>
  </si>
  <si>
    <t>P.N.508</t>
  </si>
  <si>
    <t>Bendras naujai nutiestų kelių ilgis, km.</t>
  </si>
  <si>
    <t>R.S.342</t>
  </si>
  <si>
    <t>P.S.342</t>
  </si>
  <si>
    <t>Įdiegtos saugų eismų gerinančios ir aplinkosaugos priemonės, vnt.</t>
  </si>
  <si>
    <t>P.B.214</t>
  </si>
  <si>
    <t>Bendras rekonstruotų arba atnaujintų kelių ilgis, km</t>
  </si>
  <si>
    <t xml:space="preserve">Bendras rekonstruotų arba atnaujintų kelių ilgis“, km </t>
  </si>
  <si>
    <t>P.S.321</t>
  </si>
  <si>
    <t>Įrengtų naujų dviračių / ir / ar pėsčiųjų takų ir / ar trasų ilgis, km</t>
  </si>
  <si>
    <t>Įrengtų naujų dviračių ir / ar pėsčiųjų takų ir / ar trasų ilgis, km</t>
  </si>
  <si>
    <t>P.S.322</t>
  </si>
  <si>
    <t>Rekonstruotų dviračių ir / ar pėsčiųjų takų ir / ar trasų ilgis, km</t>
  </si>
  <si>
    <t> Rekonstruotų dviračių ir/ar pėsčiųjų takų ir/ar trasų ilgis, km</t>
  </si>
  <si>
    <t>P.S.323</t>
  </si>
  <si>
    <t>Įgyvendintos darnaus judumo priemonės, vnt</t>
  </si>
  <si>
    <t>P.N.507</t>
  </si>
  <si>
    <t>Parengti darnaus judumo mieste planai, vnt</t>
  </si>
  <si>
    <t>P.S.325</t>
  </si>
  <si>
    <t>Įsigytos naujos ekologiškos viešojo transporto priemonės (skaičius)</t>
  </si>
  <si>
    <t>P.S.335</t>
  </si>
  <si>
    <t>Sutvarkyti, įrengti ir pritaikyti lankymui gamtos ir kultūros paveldo objektai ir teritorijos (skaičius)</t>
  </si>
  <si>
    <t>P.B.209</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</si>
  <si>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</si>
  <si>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</si>
  <si>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</si>
  <si>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P.N.817</t>
  </si>
  <si>
    <t>Įrengti ženklinimo infrastruktūros objektai</t>
  </si>
  <si>
    <t>P.S.333</t>
  </si>
  <si>
    <t>Rekonstruotų vandens tiekimo ir nuotekų surinkimo tinklų ilgis (km)</t>
  </si>
  <si>
    <t>P.N.050</t>
  </si>
  <si>
    <t>Gyventojai, kuriems teikiamos vandens tiekimo paslaugos naujai pastatytais geriamojo vandens tiekimo tinklais (skaičius)</t>
  </si>
  <si>
    <t>P.N.051</t>
  </si>
  <si>
    <t>Gyventojai, kuriems teikiamos vandenstiekimo paslaugos iš naujai pastatytų ir (arba) rekonstruotų geriamojo vandens gerinimo įrenginių (skaičius)</t>
  </si>
  <si>
    <t>P.N.053</t>
  </si>
  <si>
    <t>Gyventojai, kuriems teikiamos paslaugos naujai pastatytais nuotekų surinkimo tinklais (GE)</t>
  </si>
  <si>
    <t>P.N.054</t>
  </si>
  <si>
    <t>Gyventojai, kuriems teikiamos nuotekų valymo paslaugos naujai pastatytais ir (arba) rekonstruotais nuotekų valymo įrenginiais (GE)</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</si>
  <si>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</si>
  <si>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</si>
  <si>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</si>
  <si>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P.S.328</t>
  </si>
  <si>
    <t>Lietaus nuotėkio plotas, iš kurio surenkamam paviršiniam (lietaus) vandeniui tvarkyti įrengta ir (ar) rekonstruota infrastruktūra, ha</t>
  </si>
  <si>
    <t>P.N.028</t>
  </si>
  <si>
    <t>Inventorizuota neapskaityto paviršinių nuotekų nuotakyno dalis, proc.</t>
  </si>
  <si>
    <t>Lietaus nuotėkio plotas, iš kurio surenkamam paviršiniam (lietaus) vandeniui tvarkyti, įrengta ir (ar) rekonstruota infrastruktūra, ha</t>
  </si>
  <si>
    <t>P.S.329</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</si>
  <si>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</si>
  <si>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</si>
  <si>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</si>
  <si>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</si>
  <si>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P.N.092</t>
  </si>
  <si>
    <t xml:space="preserve">Kraštovaizdžio ir (ar) gamtinio karkaso formavimo aspektais pakeisti ar pakoreguoti savivaldybių ar jų dalių bendrieji planai </t>
  </si>
  <si>
    <t>P.N.093</t>
  </si>
  <si>
    <t>Likviduoti kraštovaizdį darkantys bešeimininkiai apleisti statiniai ir įrenginiai</t>
  </si>
  <si>
    <t>R.N.091</t>
  </si>
  <si>
    <t>Teritorijų, kuriose įgyvendintos kraštovaizdžio formavimo priemonės, plotas, ha</t>
  </si>
  <si>
    <t>P.S.338</t>
  </si>
  <si>
    <t>Išsaugotų, sutvarkytų ar atkurtų įvairaus teritorinio lygmens kraštovaizdžio arealų, skaičius</t>
  </si>
  <si>
    <t>Išsaugoti, sutvarkyti ar atkurti įvairaus teritorinio lygmens kraštovaizdžio arealai</t>
  </si>
  <si>
    <t>P.N.094</t>
  </si>
  <si>
    <t>Rekultyvuotos atvirais kasiniais pažeistos žemės</t>
  </si>
  <si>
    <t>Investicijas gavusių viešųjų teritorijų plotas, ha</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</si>
  <si>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</si>
  <si>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</si>
  <si>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</si>
  <si>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</si>
  <si>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</si>
  <si>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</si>
  <si>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P.N.722</t>
  </si>
  <si>
    <t>Pagal veiksmų programą ERPF lėšomis atnaujintos bendrojo ugdymo mokyklos, vnt.</t>
  </si>
  <si>
    <t>P.N.723</t>
  </si>
  <si>
    <t>Pagal veiksmų programą ERPF lėšomis atnaujinta neformaliojo ugdymo įstaigos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</si>
  <si>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</si>
  <si>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</si>
  <si>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</si>
  <si>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</si>
  <si>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</si>
  <si>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</si>
  <si>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</si>
  <si>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</si>
  <si>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</si>
  <si>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</si>
  <si>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</si>
  <si>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</si>
  <si>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</si>
  <si>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</si>
  <si>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</si>
  <si>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</si>
  <si>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</si>
  <si>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</si>
  <si>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</si>
  <si>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</si>
  <si>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</si>
  <si>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</si>
  <si>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</si>
  <si>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</si>
  <si>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</si>
  <si>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</si>
  <si>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</si>
  <si>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</si>
  <si>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Miestų kompleksinė plėtra</t>
  </si>
  <si>
    <t>07.1.1-CPVA-R-903</t>
  </si>
  <si>
    <t>Pereinamojo laikotarpio tikslinių teritorijų vystymas. II</t>
  </si>
  <si>
    <t>07.1.1-CPVA-V-902</t>
  </si>
  <si>
    <t>Kaimo gyvenamųjų vietovių atnaujinimas</t>
  </si>
  <si>
    <t>Pereinamojo laikotarpio tikslinių teritorijų vystymas. I</t>
  </si>
  <si>
    <t>Vietinių kelių vystymas</t>
  </si>
  <si>
    <t>Pėsčiųjų ir dviračių takų rekonstrukcija ir plėtra</t>
  </si>
  <si>
    <t>Darnaus judumo priemonių diegimas</t>
  </si>
  <si>
    <t>Darnaus judumo sistemų kūrimas</t>
  </si>
  <si>
    <t>Vietinio susisiekimo viešojo transporto priemonių parko atnaujinimas</t>
  </si>
  <si>
    <t>Aktualizuoti savivaldybių kultūros paveldo objektus</t>
  </si>
  <si>
    <t xml:space="preserve">05.4.1-LVPA-R-821 </t>
  </si>
  <si>
    <t xml:space="preserve"> Savivaldybes jungiančių turizmo trasų ir turizmo maršrutų informacinės infrastruktūros plėtra</t>
  </si>
  <si>
    <t xml:space="preserve"> Geriamojo vandens tiekimo ir nuotekų tvarkymo sistemų renovavimas ir plėtra, įmonių valdymo tobulinimas</t>
  </si>
  <si>
    <t>Paviršinių nuotekų sistemų tvarkymas</t>
  </si>
  <si>
    <t>Komunalinių atliekų tvarkymo infrastruktūros plėtra</t>
  </si>
  <si>
    <t>Kraštovaizdžio apsauga</t>
  </si>
  <si>
    <t xml:space="preserve"> Ikimokyklinio ir priešmokyklinio ugdymo prieinamumo didinimas</t>
  </si>
  <si>
    <t xml:space="preserve">  Mokyklų tinklo efektyvumo didinimas</t>
  </si>
  <si>
    <t>Neformaliojo švietimo infrastruktūros tobulinimas</t>
  </si>
  <si>
    <t>Priemonių, gerinančių ambulatorinių sveikatos priežiūros paslaugų prieinamumą tuberkulioze sergantiems asmenims, įgyvendinimas</t>
  </si>
  <si>
    <t>Pirminės asmens ir visuomenės sveikatos priežiūros veiklos efektyvumo didinimas</t>
  </si>
  <si>
    <t>08.1.3-CPVA-R-609</t>
  </si>
  <si>
    <t xml:space="preserve"> Sveikos gyvensenos skatinimas regioniniu lygiu </t>
  </si>
  <si>
    <t>Socialinių paslaugų infrastruktūros plėtra</t>
  </si>
  <si>
    <t xml:space="preserve">08.1.2-CPVA-R-407 </t>
  </si>
  <si>
    <t>Socialinio būsto fondo plėtra</t>
  </si>
  <si>
    <t>Modernizuoti savivaldybių kultūros infrastuktūrą</t>
  </si>
  <si>
    <t>Paslaugų ir asmenų aptarnavimo kokybės gerinimas savivaldybėse</t>
  </si>
  <si>
    <t xml:space="preserve">Sukurtos arba atnaujintos atviros erdvės miestų vietovėse, m2    </t>
  </si>
  <si>
    <t>Pastatyti arba atnaujinti viešieji arba komerciniai pastatai miestų vietovėse, m2</t>
  </si>
  <si>
    <t xml:space="preserve">Gyventojai, kuriems teikiamos vandens tiekimo paslaugos iš naujai pastatytų ir (arba) rekonstruotų geriamojo vandens gerinimo įrenginių </t>
  </si>
  <si>
    <t>Gyventojai, kuriems tiekiamos vandens tiekimo paslaugos naujai pastatytais tinklais (GE)</t>
  </si>
  <si>
    <t>Kraštovaizdžio ir (ar) gamtinio karkaso formavimo aspektais pakeistų ar pakoreguotų savivaldybių ar jų dalių bendrųjų planų, skaičius</t>
  </si>
  <si>
    <t>Modernizuoti kultūros infrastruktūros objektai</t>
  </si>
  <si>
    <t>Parengti darnaus judumo mieste planai</t>
  </si>
  <si>
    <t>Bendras naujai nutiestų kelių ilgis, km</t>
  </si>
  <si>
    <t>Pagal veiksmų programą ERPF lėšomis atnaujintos ikimokyklinio ir priešmokyklinio ugdymo mokyklos</t>
  </si>
  <si>
    <t>Pagal veiksmų programą ERPF lėšomis atnaujintos bendrojo ugdymo mokyklos</t>
  </si>
  <si>
    <t> P.N.910</t>
  </si>
  <si>
    <t>P.N.915</t>
  </si>
  <si>
    <t>Valstybės ir savivaldybių institucijos ir įstaigos, įgyvendinusios paslaugų ir (ar) aptarnavimo kokybei gerinti skirtas priemones</t>
  </si>
  <si>
    <t>P.S.322.</t>
  </si>
  <si>
    <t>P.S.323.</t>
  </si>
  <si>
    <t>Įgyvendintos darnaus judumo priemonės</t>
  </si>
  <si>
    <t xml:space="preserve"> Įsigytos naujos ekologiškos viešojo transporto priemonės, skaičius</t>
  </si>
  <si>
    <t>Investicijas gavę socialinių paslaugų infrastruktūros objektai</t>
  </si>
  <si>
    <t>Tikslinių grupių asmenys, kurie dalyvavo informavimo, švietimo ir mokymo renginiuose bei sveikatos raštingumą didinančiose veiklose, skaičius</t>
  </si>
  <si>
    <t>P.S.379</t>
  </si>
  <si>
    <t>Švietimo ir kitų švietimo teikėjų įstaigos, kuriose pagal veiksmų programą ERPF lėšomis sukurta ar atnaujinta ne mažiau nei viena edukacinė erdvė“</t>
  </si>
  <si>
    <t>Sugaištas kelionės automobilių kelias (išskyrus TEN-T kelius, mln. val.)</t>
  </si>
  <si>
    <t>I</t>
  </si>
  <si>
    <t>II</t>
  </si>
  <si>
    <t>III</t>
  </si>
  <si>
    <t>IV</t>
  </si>
  <si>
    <t>Viso</t>
  </si>
  <si>
    <t>Priemonė: SmartParkas LT</t>
  </si>
  <si>
    <t xml:space="preserve"> 01.2.1-LVPA-V-830</t>
  </si>
  <si>
    <t>R098830-360000-2301</t>
  </si>
  <si>
    <t>SmartParkas LT</t>
  </si>
  <si>
    <t>P.S.303</t>
  </si>
  <si>
    <t>Investicijas gavusių viešųjų teritorijų plotas</t>
  </si>
  <si>
    <t>Tuberkulioze sergantys pacientai, kuriems buvo suteiktos socialinės paramos priemonės (maisto talonų dalijimas ir (arba) kelionės išlaidų kompensavimas) tuberkuliozės ambulatorinio gydymo metu</t>
  </si>
  <si>
    <t>4 priedas</t>
  </si>
  <si>
    <t>PRODUKTO VERTINIMO KRITERIJŲ PASIEKIMO GRAFIKAS</t>
  </si>
  <si>
    <t>4 lentelė. Siektinos produkto ir rezultato vertinimo kriterijų reikšmės atitinkamais metais.</t>
  </si>
  <si>
    <t>Vertinimo kriterijaus pavadinimas</t>
  </si>
  <si>
    <t>5 lentelė. Siektinos produkto ir rezultato vertinimo kriterijų reikšmės kaupiamuoju būdu (nuo plano įgyvendinimo pradžios).</t>
  </si>
  <si>
    <t>R090014-075000-2206</t>
  </si>
  <si>
    <t>Prioritetas: Didinti teritorinę sanglaudą regione</t>
  </si>
  <si>
    <t>2.</t>
  </si>
  <si>
    <t>Prioritetas: Integrali ekonomika</t>
  </si>
  <si>
    <t>Prioritetas: Gyvenimo kokybės gerinimas</t>
  </si>
  <si>
    <t>3.</t>
  </si>
  <si>
    <t>R090014-070600-2204</t>
  </si>
  <si>
    <t>R090014-070600-2205</t>
  </si>
  <si>
    <t>Likviduoti kraštovaizdį darkantys bešeimininkiai apleisti statiniai ir įrenginiai, vnt.</t>
  </si>
  <si>
    <t>R090014-070000-2202</t>
  </si>
  <si>
    <t>Vandens tiekimo ir nuotekų tvarkymo infrastruktūros plėtra Utenos rajone (Jasonių k.)</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</si>
  <si>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</si>
  <si>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</si>
  <si>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</si>
  <si>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</si>
  <si>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</si>
  <si>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</si>
  <si>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</si>
  <si>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2.2.1.1.9</t>
  </si>
  <si>
    <t>R090014-070000-2227</t>
  </si>
  <si>
    <t>Vandentiekio ir nuotekų tinklų Anykščių aglomeracijoje (sodų bendrija ,,Šaltupys" ir Keblonių k.) statybos darbai .</t>
  </si>
  <si>
    <t>Vandens tiekimo ir nuotekų tvarkymo infrastruktūros plėtra ir rekonstravimas Zarasų rajono savivaldybėje (II etapas)</t>
  </si>
  <si>
    <t>2.2.1.1.10</t>
  </si>
  <si>
    <t>R090014-070600-2228</t>
  </si>
  <si>
    <t>2019.04</t>
  </si>
  <si>
    <t>3.2.1.1.1</t>
  </si>
  <si>
    <t>3.2.1.1.2</t>
  </si>
  <si>
    <t>3.2.1.1.3</t>
  </si>
  <si>
    <t>3.2.1.1.4</t>
  </si>
  <si>
    <t>3.2.1.1.5</t>
  </si>
  <si>
    <t>3.2.1.1.6</t>
  </si>
  <si>
    <t>R096609-270000-3236</t>
  </si>
  <si>
    <t>R096609-270000-3237</t>
  </si>
  <si>
    <t>R096609-270000-3238</t>
  </si>
  <si>
    <t>R096609-270000-3239</t>
  </si>
  <si>
    <t>R096609-270000-3240</t>
  </si>
  <si>
    <t>R096609-270000-3241</t>
  </si>
  <si>
    <t>Anykščių rajono savivaldybės gyventojų sveikatos stiprinimas gerinant pirminės sveikatos priežiūros paslaugų prieinamumą ir kokybę</t>
  </si>
  <si>
    <t>VšĮ Anykščių rajono savivaldybės pirminės sveikatos priežiūros centras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</si>
  <si>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</si>
  <si>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</si>
  <si>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</si>
  <si>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</si>
  <si>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Pirminės sveikatos paslaugų gerinimas VšĮ Ignalinos rajono poliklinikoje</t>
  </si>
  <si>
    <t>VšĮ Ignalinos rajono poliklinika</t>
  </si>
  <si>
    <t>2019.01</t>
  </si>
  <si>
    <t>UAB „Ignalinos sveikatos centras“ pirminės asmens sveikatos priežiūros paslaugų teikimo infrastruktūros modernizavimas</t>
  </si>
  <si>
    <t>UAB Ignalinos sveikatos centras</t>
  </si>
  <si>
    <t>Molėtų r. pirminės sveikatos priežiūros centro veiklos efektyvumo didinimas</t>
  </si>
  <si>
    <t>Pareiškėjas Molėtų rajono savivaldybės administracija, partneris VšĮ Molėtų rajono pirminės sveikatos priežiūros centras</t>
  </si>
  <si>
    <t>Pirminės asmens sveikatos priežiūros veiklos efektyvumo didinimas Utenos rajone</t>
  </si>
  <si>
    <t>3.2.1.1.7</t>
  </si>
  <si>
    <t>3.2.1.1.8</t>
  </si>
  <si>
    <t>UAB "Dilina" teikiamų paslaugų efektyvumo didinimas</t>
  </si>
  <si>
    <t>UAB "Dilina"</t>
  </si>
  <si>
    <t>Pirminės asmens sveikatos priežiūros paslaugų kokybės ir prieinamumo gerinimas Zarasų rajono savivaldybėje</t>
  </si>
  <si>
    <t>R096609-270000-3242</t>
  </si>
  <si>
    <t>Zarasų rajono savivaldybės VšĮ Zarasų pirminės sveikatos priežiūros centras</t>
  </si>
  <si>
    <t>Socialinių ir sveikatos paslaugų infrastruktūra</t>
  </si>
  <si>
    <t>R096609-270000-3243</t>
  </si>
  <si>
    <t xml:space="preserve">Visagino savivaldybė  </t>
  </si>
  <si>
    <t>VšĮ Visagino pirminės sveikatos priežiūros centro veiklos efektyvumo didinimas</t>
  </si>
  <si>
    <t>UAB „ISC“ pirminės asmens sveikatos priežiūros paslaugų teikimo efektyvumo didinimas</t>
  </si>
  <si>
    <t>Vandentiekio ir nuotekų tinklų Anykščių aglomeracijoje (sodų bendrija ,,Šaltupys" ir Keblonių k.) statybos darbai.</t>
  </si>
  <si>
    <t xml:space="preserve">2.1.2.1.2 </t>
  </si>
  <si>
    <t>R098821-420000-2106</t>
  </si>
  <si>
    <t>Informacinės infrastruktūros plėtra Ignalinos, Molėtų ir Utenos rajonuose</t>
  </si>
  <si>
    <t>Ignalinos r. sav.; Molėtų r.sav.; Utenos r. sav.</t>
  </si>
  <si>
    <t>2.1.2.1.2</t>
  </si>
  <si>
    <r>
      <t xml:space="preserve">Darnaus judumo priemonės miestuose (pėsčiųjų ir dviračių takų infrastruktūra, </t>
    </r>
    <r>
      <rPr>
        <i/>
        <sz val="10"/>
        <rFont val="Times New Roman"/>
        <family val="1"/>
        <charset val="186"/>
      </rPr>
      <t>Park and Ride</t>
    </r>
    <r>
      <rPr>
        <sz val="10"/>
        <rFont val="Times New Roman"/>
        <family val="1"/>
        <charset val="186"/>
      </rPr>
      <t xml:space="preserve">, </t>
    </r>
    <r>
      <rPr>
        <i/>
        <sz val="10"/>
        <rFont val="Times New Roman"/>
        <family val="1"/>
        <charset val="186"/>
      </rPr>
      <t>Bike and Ride</t>
    </r>
    <r>
      <rPr>
        <sz val="10"/>
        <rFont val="Times New Roman"/>
        <family val="1"/>
        <charset val="186"/>
      </rPr>
      <t xml:space="preserve"> aikštelės, elektromobilių įkrovimo stotelių įrengimas ir kita)</t>
    </r>
  </si>
  <si>
    <t>Utenos rajono savivaldybės Leliūnų socialinės globos namai</t>
  </si>
  <si>
    <t>1.2.2.2.5</t>
  </si>
  <si>
    <t>2019.10</t>
  </si>
  <si>
    <t>2019.12</t>
  </si>
  <si>
    <t>R095513-190000-1217</t>
  </si>
  <si>
    <t>R095513-500000-1214</t>
  </si>
  <si>
    <t>Darnaus judumo priemonių įgyvendinimas Utenoje</t>
  </si>
  <si>
    <t>R099905-302900-1113</t>
  </si>
  <si>
    <t>R099905-302900-1106</t>
  </si>
  <si>
    <t xml:space="preserve"> Dviračių ir pėsčiųjų takų plėtra Ignalinos miesto Geležinkelio g., Budrių g. ir esamame take nuo Mokyklos g. į Strigailiškio kaimą            
</t>
  </si>
  <si>
    <t>2.2.1.1.11</t>
  </si>
  <si>
    <t>R090014-070600-2229</t>
  </si>
  <si>
    <t>Vandens tiekimo ir nuotekų tvarkymo infrastruktūros plėtra ir rekonstrukcija Molėtų rajone (II etapas)</t>
  </si>
  <si>
    <t>UAB ,,Molėtų vanduo"</t>
  </si>
  <si>
    <r>
      <t>Dviračių ir pėsčiųjų takų plėtra Ignalinos miesto Geležinkelio g., Budrių g.</t>
    </r>
    <r>
      <rPr>
        <sz val="10"/>
        <rFont val="Times New Roman"/>
        <family val="1"/>
        <charset val="186"/>
      </rPr>
      <t xml:space="preserve"> ir</t>
    </r>
    <r>
      <rPr>
        <sz val="10"/>
        <color rgb="FFFF0000"/>
        <rFont val="Times New Roman"/>
        <family val="1"/>
        <charset val="186"/>
      </rPr>
      <t xml:space="preserve"> </t>
    </r>
    <r>
      <rPr>
        <sz val="10"/>
        <color theme="1"/>
        <rFont val="Times New Roman"/>
        <family val="1"/>
        <charset val="186"/>
      </rPr>
      <t xml:space="preserve">esamame take nuo Mokyklos g. į Strigailiškio kaimą            
</t>
    </r>
  </si>
  <si>
    <t>1.2.1.1.9</t>
  </si>
  <si>
    <t>1.2.1.1.10</t>
  </si>
  <si>
    <t>1.2.1.1.11</t>
  </si>
  <si>
    <t>1.2.1.1.12</t>
  </si>
  <si>
    <t>1.2.1.1.13</t>
  </si>
  <si>
    <t>Ignalinos miesto Ligoninės gatvės dalies rekonstrukcija</t>
  </si>
  <si>
    <t>Saugaus eismo priemonių diegimas Ignalinos rajono keliuose</t>
  </si>
  <si>
    <t>Eismo sąlygų pagerinimas ir gyvenamosios aplinkos pasiekiamumo užtikrinimas, rekonstruojant Žvejų gatvę Anykščių mieste</t>
  </si>
  <si>
    <t>R095511-120000-1221</t>
  </si>
  <si>
    <t>R095511-090000-1222</t>
  </si>
  <si>
    <t>2020.03</t>
  </si>
  <si>
    <t>Saugaus eismo priemonių diegimas Molėtų rajono  Giedraičių miestelyje</t>
  </si>
  <si>
    <t>R095511-090000-1223</t>
  </si>
  <si>
    <t>2019.11</t>
  </si>
  <si>
    <t>2020.01</t>
  </si>
  <si>
    <t>Eismo saugumo didinimas Šiaulių gatvėje, Zarasų mieste</t>
  </si>
  <si>
    <t>R095511-090000-1224</t>
  </si>
  <si>
    <t>2019.07</t>
  </si>
  <si>
    <t>2019.09</t>
  </si>
  <si>
    <t>R095511-121109-1203</t>
  </si>
  <si>
    <t>R095511-120900-1204</t>
  </si>
  <si>
    <t>R095511-120900-1205</t>
  </si>
  <si>
    <t>R095511-120900-1220</t>
  </si>
  <si>
    <t>R095511-120900-1206</t>
  </si>
  <si>
    <r>
      <t xml:space="preserve">3 lentelė. Projektams </t>
    </r>
    <r>
      <rPr>
        <b/>
        <sz val="11"/>
        <rFont val="Times New Roman"/>
        <family val="1"/>
        <charset val="186"/>
      </rPr>
      <t>priskirti produkto ir rezultato vertinimo kriterijai.</t>
    </r>
  </si>
  <si>
    <r>
      <t xml:space="preserve">Dviračių ir pėsčiųjų takų plėtra Ignalinos miesto Geležinkelio g., Budrių g.  ir </t>
    </r>
    <r>
      <rPr>
        <strike/>
        <sz val="10"/>
        <rFont val="Times New Roman"/>
        <family val="1"/>
        <charset val="186"/>
      </rPr>
      <t xml:space="preserve"> </t>
    </r>
    <r>
      <rPr>
        <sz val="10"/>
        <rFont val="Times New Roman"/>
        <family val="1"/>
        <charset val="186"/>
      </rPr>
      <t xml:space="preserve">esamame take nuo Mokyklos g. į Strigailiškio kaimą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</si>
</sst>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30"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b/>
      <sz val="9"/>
      <color theme="1"/>
      <name val="Times New Roman"/>
      <family val="1"/>
      <charset val="186"/>
    </font>
    <font>
      <b/>
      <sz val="10"/>
      <color theme="1"/>
      <name val="Times New Roman"/>
      <family val="1"/>
      <charset val="186"/>
    </font>
    <font>
      <b/>
      <sz val="8"/>
      <color theme="1"/>
      <name val="Times New Roman"/>
      <family val="1"/>
      <charset val="186"/>
    </font>
    <font>
      <sz val="10"/>
      <color theme="1"/>
      <name val="Times New Roman"/>
      <family val="1"/>
      <charset val="186"/>
    </font>
    <font>
      <sz val="9"/>
      <color theme="1"/>
      <name val="Times New Roman"/>
      <family val="1"/>
      <charset val="186"/>
    </font>
    <font>
      <sz val="11"/>
      <name val="Times New Roman"/>
      <family val="1"/>
      <charset val="186"/>
    </font>
    <font>
      <b/>
      <sz val="10"/>
      <name val="Times New Roman"/>
      <family val="1"/>
      <charset val="186"/>
    </font>
    <font>
      <sz val="11"/>
      <color rgb="FFFF0000"/>
      <name val="Calibri"/>
      <family val="2"/>
      <charset val="186"/>
      <scheme val="minor"/>
    </font>
    <font>
      <sz val="10"/>
      <name val="Times New Roman"/>
      <family val="1"/>
      <charset val="186"/>
    </font>
    <font>
      <sz val="12"/>
      <name val="Times New Roman"/>
      <family val="1"/>
      <charset val="186"/>
    </font>
    <font>
      <sz val="11"/>
      <name val="Calibri"/>
      <family val="2"/>
      <charset val="186"/>
      <scheme val="minor"/>
    </font>
    <font>
      <b/>
      <sz val="12"/>
      <name val="Times New Roman"/>
      <family val="1"/>
      <charset val="186"/>
    </font>
    <font>
      <sz val="10"/>
      <color rgb="FFFF0000"/>
      <name val="Times New Roman"/>
      <family val="1"/>
      <charset val="186"/>
    </font>
    <font>
      <sz val="10"/>
      <name val="Calibri"/>
      <family val="2"/>
      <charset val="186"/>
      <scheme val="minor"/>
    </font>
    <font>
      <sz val="9"/>
      <name val="Times New Roman"/>
      <family val="1"/>
      <charset val="186"/>
    </font>
    <font>
      <sz val="10"/>
      <color theme="4" tint="-0.499984740745262"/>
      <name val="Times New Roman"/>
      <family val="1"/>
      <charset val="186"/>
    </font>
    <font>
      <sz val="12"/>
      <color rgb="FFFF0000"/>
      <name val="Times New Roman"/>
      <family val="1"/>
      <charset val="186"/>
    </font>
    <font>
      <i/>
      <sz val="10"/>
      <name val="Times New Roman"/>
      <family val="1"/>
      <charset val="186"/>
    </font>
    <font>
      <sz val="11"/>
      <color theme="0"/>
      <name val="Calibri"/>
      <family val="2"/>
      <charset val="186"/>
      <scheme val="minor"/>
    </font>
    <font>
      <sz val="10"/>
      <color theme="0"/>
      <name val="Times New Roman"/>
      <family val="1"/>
      <charset val="186"/>
    </font>
    <font>
      <b/>
      <sz val="8"/>
      <name val="Times New Roman"/>
      <family val="1"/>
      <charset val="186"/>
    </font>
    <font>
      <b/>
      <sz val="11"/>
      <name val="Times New Roman"/>
      <family val="1"/>
      <charset val="186"/>
    </font>
    <font>
      <b/>
      <sz val="9"/>
      <name val="Times New Roman"/>
      <family val="1"/>
      <charset val="186"/>
    </font>
    <font>
      <sz val="8"/>
      <name val="Times New Roman"/>
      <family val="1"/>
      <charset val="186"/>
    </font>
    <font>
      <strike/>
      <sz val="10"/>
      <name val="Times New Roman"/>
      <family val="1"/>
      <charset val="186"/>
    </font>
  </fonts>
  <fills count="8">
    <fill>
      <patternFill patternType="none"/>
    </fill>
    <fill>
      <patternFill patternType="gray125"/>
    </fill>
    <fill>
      <patternFill patternType="solid">
        <fgColor rgb="FFD0CECE"/>
        <bgColor indexed="64"/>
      </patternFill>
    </fill>
    <fill>
      <patternFill patternType="solid">
        <fgColor rgb="FFD6DCE4"/>
        <bgColor indexed="64"/>
      </patternFill>
    </fill>
    <fill>
      <patternFill patternType="solid">
        <fgColor rgb="FFC9C9C9"/>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4">
    <xf numFmtId="0" fontId="0" fillId="0" borderId="0" xfId="0"/>
    <xf numFmtId="0" fontId="3" fillId="0" borderId="0" xfId="0" applyFont="1" applyAlignment="1">
      <alignment vertical="center"/>
    </xf>
    <xf numFmtId="0" fontId="1" fillId="0" borderId="0" xfId="0" applyFont="1" applyAlignment="1">
      <alignment horizontal="center"/>
    </xf>
    <xf numFmtId="0" fontId="3" fillId="0" borderId="0" xfId="0" applyFont="1" applyBorder="1" applyAlignment="1">
      <alignment vertical="center" wrapText="1"/>
    </xf>
    <xf numFmtId="0" fontId="0" fillId="0" borderId="0" xfId="0" applyBorder="1"/>
    <xf numFmtId="0" fontId="0" fillId="0" borderId="0" xfId="0"/>
    <xf numFmtId="0" fontId="3" fillId="0" borderId="0" xfId="0" applyFont="1"/>
    <xf numFmtId="0" fontId="2" fillId="0" borderId="1" xfId="0" applyFont="1" applyBorder="1"/>
    <xf numFmtId="0" fontId="2" fillId="0" borderId="1" xfId="0" applyFont="1" applyBorder="1" applyAlignment="1">
      <alignment horizontal="center" vertical="center" wrapText="1"/>
    </xf>
    <xf numFmtId="0" fontId="6" fillId="0" borderId="1" xfId="0" applyFont="1" applyBorder="1" applyAlignment="1">
      <alignment vertical="center"/>
    </xf>
    <xf numFmtId="0" fontId="6" fillId="2" borderId="1" xfId="0" applyFont="1" applyFill="1" applyBorder="1" applyAlignment="1">
      <alignment vertical="center"/>
    </xf>
    <xf numFmtId="0" fontId="6" fillId="3" borderId="1" xfId="0" applyFont="1" applyFill="1" applyBorder="1" applyAlignment="1">
      <alignment vertical="center"/>
    </xf>
    <xf numFmtId="0" fontId="7" fillId="3" borderId="1" xfId="0" applyFont="1" applyFill="1" applyBorder="1" applyAlignment="1">
      <alignment vertical="center" wrapText="1"/>
    </xf>
    <xf numFmtId="0" fontId="8" fillId="0" borderId="1" xfId="0" applyFont="1" applyBorder="1" applyAlignment="1">
      <alignment vertical="center"/>
    </xf>
    <xf numFmtId="0" fontId="6" fillId="4" borderId="1" xfId="0" applyFont="1" applyFill="1" applyBorder="1" applyAlignment="1">
      <alignmen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vertical="center" wrapText="1"/>
    </xf>
    <xf numFmtId="0" fontId="8" fillId="0" borderId="1" xfId="0" applyFont="1" applyBorder="1" applyAlignment="1">
      <alignment vertical="center" wrapText="1"/>
    </xf>
    <xf numFmtId="0" fontId="2" fillId="0" borderId="1" xfId="0" applyFont="1" applyBorder="1" applyAlignment="1">
      <alignment horizont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vertical="top" wrapText="1"/>
    </xf>
    <xf numFmtId="0" fontId="5" fillId="0" borderId="1" xfId="0" applyFont="1" applyBorder="1" applyAlignment="1">
      <alignment horizontal="center" vertical="center" wrapText="1"/>
    </xf>
    <xf numFmtId="0" fontId="6" fillId="3" borderId="1" xfId="0" applyFont="1" applyFill="1" applyBorder="1" applyAlignment="1">
      <alignment vertical="center" wrapText="1"/>
    </xf>
    <xf numFmtId="0" fontId="8" fillId="5" borderId="1" xfId="0" applyFont="1" applyFill="1" applyBorder="1" applyAlignment="1">
      <alignment vertical="center"/>
    </xf>
    <xf numFmtId="0" fontId="8" fillId="5" borderId="1"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6" fillId="6" borderId="1" xfId="0" applyFont="1" applyFill="1" applyBorder="1" applyAlignment="1">
      <alignment vertical="center" wrapText="1"/>
    </xf>
    <xf numFmtId="0" fontId="8" fillId="0" borderId="1" xfId="0" applyFont="1" applyBorder="1"/>
    <xf numFmtId="0" fontId="6" fillId="4" borderId="1" xfId="0" applyFont="1" applyFill="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vertical="top" wrapText="1"/>
    </xf>
    <xf numFmtId="0" fontId="9" fillId="0" borderId="1" xfId="0" applyFont="1" applyBorder="1" applyAlignment="1">
      <alignment vertical="center" wrapText="1"/>
    </xf>
    <xf numFmtId="0" fontId="8" fillId="0" borderId="0" xfId="0" applyFont="1" applyBorder="1" applyAlignment="1">
      <alignment vertical="center"/>
    </xf>
    <xf numFmtId="0" fontId="11" fillId="3" borderId="1" xfId="0" applyFont="1" applyFill="1" applyBorder="1" applyAlignment="1">
      <alignment vertical="center" wrapText="1"/>
    </xf>
    <xf numFmtId="0" fontId="7" fillId="4" borderId="1" xfId="0" applyFont="1" applyFill="1" applyBorder="1" applyAlignment="1">
      <alignment vertical="center" wrapText="1"/>
    </xf>
    <xf numFmtId="0" fontId="6" fillId="2" borderId="1" xfId="0" applyFont="1" applyFill="1" applyBorder="1" applyAlignment="1">
      <alignment vertical="center" wrapText="1"/>
    </xf>
    <xf numFmtId="0" fontId="8" fillId="0" borderId="1" xfId="0" applyFont="1" applyBorder="1" applyAlignment="1">
      <alignment vertical="top" wrapText="1"/>
    </xf>
    <xf numFmtId="0" fontId="8" fillId="0" borderId="1" xfId="0" applyFont="1" applyBorder="1" applyAlignment="1">
      <alignment horizontal="right" vertical="top" wrapText="1"/>
    </xf>
    <xf numFmtId="0" fontId="8" fillId="0" borderId="1" xfId="0" applyFont="1" applyFill="1" applyBorder="1" applyAlignment="1">
      <alignment horizontal="right" vertical="center" wrapText="1"/>
    </xf>
    <xf numFmtId="0" fontId="8" fillId="0" borderId="1" xfId="0" applyFont="1" applyFill="1" applyBorder="1" applyAlignment="1">
      <alignment vertical="top" wrapText="1"/>
    </xf>
    <xf numFmtId="0" fontId="2" fillId="0" borderId="0" xfId="0" applyFont="1" applyBorder="1" applyAlignment="1">
      <alignment vertical="top" wrapText="1"/>
    </xf>
    <xf numFmtId="0" fontId="12" fillId="0" borderId="0" xfId="0" applyFont="1"/>
    <xf numFmtId="0" fontId="13" fillId="0" borderId="1" xfId="0" applyFont="1" applyBorder="1" applyAlignment="1">
      <alignment vertical="top" wrapText="1"/>
    </xf>
    <xf numFmtId="0" fontId="13" fillId="0" borderId="1" xfId="0" applyFont="1" applyBorder="1" applyAlignment="1">
      <alignment horizontal="center" vertical="center" wrapText="1"/>
    </xf>
    <xf numFmtId="0" fontId="2" fillId="0" borderId="0" xfId="0" applyFont="1"/>
    <xf numFmtId="0" fontId="8" fillId="0" borderId="1" xfId="0" applyFont="1" applyBorder="1" applyAlignment="1">
      <alignment wrapText="1"/>
    </xf>
    <xf numFmtId="0" fontId="3" fillId="0" borderId="1" xfId="0" applyFont="1" applyBorder="1" applyAlignment="1">
      <alignment horizontal="center" vertical="center" wrapText="1"/>
    </xf>
    <xf numFmtId="0" fontId="13" fillId="0" borderId="1" xfId="0" applyFont="1" applyBorder="1"/>
    <xf numFmtId="2" fontId="14" fillId="0" borderId="1" xfId="0" applyNumberFormat="1" applyFont="1" applyBorder="1" applyAlignment="1">
      <alignment vertical="top" wrapText="1"/>
    </xf>
    <xf numFmtId="0" fontId="15" fillId="0" borderId="0" xfId="0" applyFont="1"/>
    <xf numFmtId="0" fontId="13"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6" fillId="7" borderId="1" xfId="0" applyFont="1" applyFill="1" applyBorder="1" applyAlignment="1">
      <alignment vertical="center" wrapText="1"/>
    </xf>
    <xf numFmtId="0" fontId="14" fillId="0" borderId="1" xfId="0" applyFont="1" applyBorder="1" applyAlignment="1">
      <alignment vertical="top" wrapText="1"/>
    </xf>
    <xf numFmtId="0" fontId="13" fillId="0" borderId="1" xfId="0" applyFont="1" applyBorder="1" applyAlignment="1">
      <alignment vertical="center"/>
    </xf>
    <xf numFmtId="0" fontId="13" fillId="0" borderId="1" xfId="0" applyFont="1" applyBorder="1" applyAlignment="1">
      <alignment vertical="center" wrapText="1"/>
    </xf>
    <xf numFmtId="0" fontId="13" fillId="5" borderId="1" xfId="0" applyFont="1" applyFill="1" applyBorder="1" applyAlignment="1">
      <alignment vertical="center" wrapText="1"/>
    </xf>
    <xf numFmtId="2" fontId="13" fillId="0" borderId="1" xfId="0" applyNumberFormat="1" applyFont="1" applyBorder="1" applyAlignment="1">
      <alignment vertical="center"/>
    </xf>
    <xf numFmtId="2" fontId="13" fillId="0" borderId="1" xfId="0" applyNumberFormat="1" applyFont="1" applyFill="1" applyBorder="1" applyAlignment="1">
      <alignment vertical="center" wrapText="1"/>
    </xf>
    <xf numFmtId="1" fontId="13" fillId="0" borderId="1" xfId="0" applyNumberFormat="1" applyFont="1" applyFill="1" applyBorder="1" applyAlignment="1">
      <alignment vertical="center" wrapText="1"/>
    </xf>
    <xf numFmtId="0" fontId="16" fillId="0" borderId="0" xfId="0" applyFont="1" applyAlignment="1">
      <alignment vertical="center"/>
    </xf>
    <xf numFmtId="0" fontId="14" fillId="0" borderId="1" xfId="0" applyFont="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wrapText="1"/>
    </xf>
    <xf numFmtId="0" fontId="17" fillId="0" borderId="1" xfId="0" applyFont="1" applyFill="1" applyBorder="1" applyAlignment="1">
      <alignment vertical="center" wrapText="1"/>
    </xf>
    <xf numFmtId="0" fontId="17" fillId="0" borderId="1" xfId="0" applyFont="1" applyBorder="1" applyAlignment="1">
      <alignment vertical="top" wrapText="1"/>
    </xf>
    <xf numFmtId="0" fontId="17" fillId="0" borderId="1" xfId="0" applyFont="1" applyFill="1" applyBorder="1" applyAlignment="1">
      <alignment horizontal="right" vertical="center" wrapText="1"/>
    </xf>
    <xf numFmtId="0" fontId="17" fillId="0" borderId="1" xfId="0" applyFont="1" applyBorder="1" applyAlignment="1">
      <alignment vertical="center" wrapText="1"/>
    </xf>
    <xf numFmtId="0" fontId="11" fillId="2" borderId="1" xfId="0" applyFont="1" applyFill="1" applyBorder="1" applyAlignment="1">
      <alignment vertical="center"/>
    </xf>
    <xf numFmtId="0" fontId="11" fillId="6" borderId="1" xfId="0" applyFont="1" applyFill="1" applyBorder="1" applyAlignment="1">
      <alignment vertical="center" wrapText="1"/>
    </xf>
    <xf numFmtId="0" fontId="11" fillId="2" borderId="1" xfId="0" applyFont="1" applyFill="1" applyBorder="1" applyAlignment="1">
      <alignment vertical="center" wrapText="1"/>
    </xf>
    <xf numFmtId="0" fontId="13" fillId="7" borderId="1" xfId="0" applyFont="1" applyFill="1" applyBorder="1" applyAlignment="1">
      <alignment vertical="center" wrapText="1"/>
    </xf>
    <xf numFmtId="0" fontId="11" fillId="7" borderId="1" xfId="0" applyFont="1" applyFill="1" applyBorder="1" applyAlignment="1">
      <alignment vertical="center" wrapText="1"/>
    </xf>
    <xf numFmtId="0" fontId="15" fillId="0" borderId="0" xfId="0" applyFont="1" applyAlignment="1">
      <alignment horizontal="center"/>
    </xf>
    <xf numFmtId="17" fontId="13" fillId="0" borderId="1" xfId="0" applyNumberFormat="1" applyFont="1" applyFill="1" applyBorder="1" applyAlignment="1">
      <alignment horizontal="right" vertical="center" wrapText="1"/>
    </xf>
    <xf numFmtId="2" fontId="13" fillId="0" borderId="1" xfId="0" applyNumberFormat="1" applyFont="1" applyBorder="1" applyAlignment="1">
      <alignment horizontal="center" vertical="center" wrapText="1"/>
    </xf>
    <xf numFmtId="0" fontId="15" fillId="0" borderId="1" xfId="0" applyFont="1" applyBorder="1"/>
    <xf numFmtId="0" fontId="18" fillId="0" borderId="1" xfId="0" applyFont="1" applyBorder="1"/>
    <xf numFmtId="0" fontId="0" fillId="0" borderId="0" xfId="0" applyFill="1"/>
    <xf numFmtId="0" fontId="13" fillId="0" borderId="1" xfId="0" applyFont="1" applyFill="1" applyBorder="1" applyAlignment="1">
      <alignment vertical="center"/>
    </xf>
    <xf numFmtId="0" fontId="13" fillId="0" borderId="1" xfId="0" applyFont="1" applyFill="1" applyBorder="1" applyAlignment="1">
      <alignment vertical="top" wrapText="1"/>
    </xf>
    <xf numFmtId="0" fontId="19" fillId="0" borderId="1" xfId="0" applyFont="1" applyFill="1" applyBorder="1" applyAlignment="1">
      <alignment vertical="center" wrapText="1"/>
    </xf>
    <xf numFmtId="0" fontId="13" fillId="0" borderId="1" xfId="0" applyFont="1" applyFill="1" applyBorder="1" applyAlignment="1">
      <alignment horizontal="right" vertical="top" wrapText="1"/>
    </xf>
    <xf numFmtId="0" fontId="13" fillId="5" borderId="1" xfId="0" applyFont="1" applyFill="1" applyBorder="1" applyAlignment="1">
      <alignment vertical="center"/>
    </xf>
    <xf numFmtId="2" fontId="8" fillId="5" borderId="1" xfId="0" applyNumberFormat="1" applyFont="1" applyFill="1" applyBorder="1" applyAlignment="1">
      <alignment vertical="center" wrapText="1"/>
    </xf>
    <xf numFmtId="0" fontId="8" fillId="0" borderId="1" xfId="0" applyFont="1" applyFill="1" applyBorder="1"/>
    <xf numFmtId="0" fontId="12" fillId="0" borderId="0" xfId="0" applyFont="1" applyFill="1"/>
    <xf numFmtId="0" fontId="9"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0" xfId="0" applyFont="1" applyFill="1"/>
    <xf numFmtId="0" fontId="8" fillId="0" borderId="1" xfId="0" applyFont="1" applyFill="1" applyBorder="1" applyAlignment="1">
      <alignment horizontal="center" vertical="center" wrapText="1"/>
    </xf>
    <xf numFmtId="2" fontId="13" fillId="0" borderId="1" xfId="0" applyNumberFormat="1" applyFont="1" applyFill="1" applyBorder="1" applyAlignment="1">
      <alignment vertical="center"/>
    </xf>
    <xf numFmtId="0" fontId="13" fillId="0" borderId="1" xfId="0" applyFont="1" applyFill="1" applyBorder="1"/>
    <xf numFmtId="0" fontId="13" fillId="0" borderId="1" xfId="0" applyFont="1" applyFill="1" applyBorder="1" applyAlignment="1">
      <alignment wrapText="1"/>
    </xf>
    <xf numFmtId="0" fontId="8" fillId="0" borderId="1" xfId="0" applyFont="1" applyFill="1" applyBorder="1" applyAlignment="1">
      <alignment wrapText="1"/>
    </xf>
    <xf numFmtId="0" fontId="14" fillId="0" borderId="1" xfId="0" applyFont="1" applyFill="1" applyBorder="1" applyAlignment="1">
      <alignment vertical="top" wrapText="1"/>
    </xf>
    <xf numFmtId="0" fontId="2" fillId="0" borderId="1" xfId="0" applyFont="1" applyFill="1" applyBorder="1" applyAlignment="1">
      <alignment vertical="top" wrapText="1"/>
    </xf>
    <xf numFmtId="2" fontId="13" fillId="0" borderId="1" xfId="0" applyNumberFormat="1" applyFont="1" applyFill="1" applyBorder="1" applyAlignment="1">
      <alignment vertical="top" wrapText="1"/>
    </xf>
    <xf numFmtId="2" fontId="14" fillId="0" borderId="1" xfId="0" applyNumberFormat="1" applyFont="1" applyFill="1" applyBorder="1" applyAlignment="1">
      <alignment vertical="top" wrapText="1"/>
    </xf>
    <xf numFmtId="0" fontId="17" fillId="0" borderId="1" xfId="0" applyFont="1" applyFill="1" applyBorder="1"/>
    <xf numFmtId="0" fontId="20" fillId="0" borderId="1" xfId="0" applyFont="1" applyFill="1" applyBorder="1" applyAlignment="1">
      <alignment vertical="center" wrapText="1"/>
    </xf>
    <xf numFmtId="0" fontId="20" fillId="0" borderId="1" xfId="0" applyFont="1" applyFill="1" applyBorder="1" applyAlignment="1">
      <alignment horizontal="right" vertical="center" wrapText="1"/>
    </xf>
    <xf numFmtId="0" fontId="20" fillId="0" borderId="1" xfId="0" applyFont="1" applyFill="1" applyBorder="1" applyAlignment="1">
      <alignment vertical="top" wrapText="1"/>
    </xf>
    <xf numFmtId="0" fontId="21" fillId="0" borderId="0" xfId="0" applyFont="1" applyFill="1" applyBorder="1" applyAlignment="1">
      <alignment vertical="top" wrapText="1"/>
    </xf>
    <xf numFmtId="0" fontId="13" fillId="0" borderId="0" xfId="0" applyFont="1" applyBorder="1" applyAlignment="1">
      <alignment vertical="center"/>
    </xf>
    <xf numFmtId="0" fontId="13" fillId="0" borderId="1" xfId="0" applyFont="1" applyBorder="1" applyAlignment="1">
      <alignment horizontal="right" vertical="top" wrapText="1"/>
    </xf>
    <xf numFmtId="1" fontId="13" fillId="0" borderId="1" xfId="0" applyNumberFormat="1" applyFont="1" applyBorder="1"/>
    <xf numFmtId="0" fontId="24" fillId="0" borderId="0" xfId="0" applyFont="1" applyBorder="1" applyAlignment="1">
      <alignment vertical="center"/>
    </xf>
    <xf numFmtId="0" fontId="11" fillId="3" borderId="1" xfId="0" applyFont="1" applyFill="1" applyBorder="1" applyAlignment="1">
      <alignment vertical="center"/>
    </xf>
    <xf numFmtId="0" fontId="13" fillId="0" borderId="1" xfId="0" applyFont="1" applyBorder="1" applyAlignment="1">
      <alignment horizontal="right" vertical="center"/>
    </xf>
    <xf numFmtId="0" fontId="14" fillId="0" borderId="1" xfId="0" applyFont="1" applyBorder="1"/>
    <xf numFmtId="0" fontId="11" fillId="0" borderId="1" xfId="0" applyFont="1" applyBorder="1" applyAlignment="1">
      <alignment vertical="center"/>
    </xf>
    <xf numFmtId="0" fontId="23" fillId="0" borderId="0" xfId="0" applyFont="1"/>
    <xf numFmtId="0" fontId="24" fillId="0" borderId="0" xfId="0" applyFont="1" applyFill="1" applyBorder="1" applyAlignment="1">
      <alignment vertical="center"/>
    </xf>
    <xf numFmtId="0" fontId="23" fillId="0" borderId="0" xfId="0" applyFont="1" applyFill="1"/>
    <xf numFmtId="2" fontId="24" fillId="0" borderId="0" xfId="0" applyNumberFormat="1" applyFont="1" applyBorder="1" applyAlignment="1">
      <alignment vertical="center"/>
    </xf>
    <xf numFmtId="0" fontId="11" fillId="4" borderId="1" xfId="0" applyFont="1" applyFill="1" applyBorder="1" applyAlignment="1">
      <alignment vertical="center" wrapText="1"/>
    </xf>
    <xf numFmtId="0" fontId="25" fillId="3" borderId="1" xfId="0" applyFont="1" applyFill="1" applyBorder="1" applyAlignment="1">
      <alignment vertical="center" wrapText="1"/>
    </xf>
    <xf numFmtId="2" fontId="13" fillId="5" borderId="1" xfId="0" applyNumberFormat="1" applyFont="1" applyFill="1" applyBorder="1" applyAlignment="1">
      <alignment vertical="center" wrapText="1"/>
    </xf>
    <xf numFmtId="0" fontId="10" fillId="0" borderId="0" xfId="0" applyFont="1" applyAlignment="1">
      <alignment vertical="center"/>
    </xf>
    <xf numFmtId="0" fontId="20" fillId="0" borderId="1" xfId="0" applyFont="1" applyFill="1" applyBorder="1" applyAlignment="1">
      <alignment horizontal="right" vertical="top" wrapText="1"/>
    </xf>
    <xf numFmtId="2" fontId="13" fillId="0" borderId="1" xfId="0" applyNumberFormat="1" applyFont="1" applyFill="1" applyBorder="1"/>
    <xf numFmtId="2" fontId="17" fillId="0" borderId="1" xfId="0" applyNumberFormat="1" applyFont="1" applyFill="1" applyBorder="1" applyAlignment="1">
      <alignment vertical="center" wrapText="1"/>
    </xf>
    <xf numFmtId="0" fontId="13" fillId="7" borderId="1" xfId="0" applyFont="1" applyFill="1" applyBorder="1" applyAlignment="1">
      <alignment vertical="center"/>
    </xf>
    <xf numFmtId="0" fontId="11" fillId="7" borderId="1" xfId="0" applyFont="1" applyFill="1" applyBorder="1" applyAlignment="1">
      <alignment vertical="center"/>
    </xf>
    <xf numFmtId="0" fontId="28" fillId="7" borderId="1" xfId="0" applyFont="1" applyFill="1" applyBorder="1" applyAlignment="1">
      <alignment horizontal="center" vertical="center" wrapText="1"/>
    </xf>
    <xf numFmtId="0" fontId="14" fillId="7" borderId="1" xfId="0" applyFont="1" applyFill="1" applyBorder="1" applyAlignment="1">
      <alignment vertical="top" wrapText="1"/>
    </xf>
    <xf numFmtId="0" fontId="15" fillId="0" borderId="0" xfId="0" applyFont="1" applyFill="1" applyBorder="1" applyAlignment="1">
      <alignment horizontal="center"/>
    </xf>
    <xf numFmtId="2" fontId="15" fillId="0" borderId="0" xfId="0" applyNumberFormat="1" applyFont="1"/>
    <xf numFmtId="164" fontId="15" fillId="0" borderId="0" xfId="0" applyNumberFormat="1" applyFont="1"/>
    <xf numFmtId="2" fontId="15" fillId="0" borderId="0" xfId="0" applyNumberFormat="1" applyFont="1" applyFill="1"/>
    <xf numFmtId="0" fontId="11" fillId="3" borderId="1" xfId="0" applyFont="1" applyFill="1" applyBorder="1" applyAlignment="1">
      <alignment vertical="top" wrapText="1"/>
    </xf>
    <xf numFmtId="0" fontId="11" fillId="3" borderId="1" xfId="0" applyFont="1" applyFill="1" applyBorder="1" applyAlignment="1">
      <alignment vertical="top"/>
    </xf>
    <xf numFmtId="0" fontId="13" fillId="5" borderId="1" xfId="0" applyFont="1" applyFill="1" applyBorder="1" applyAlignment="1">
      <alignment vertical="top" wrapText="1"/>
    </xf>
    <xf numFmtId="0" fontId="11" fillId="6" borderId="1" xfId="0" applyFont="1" applyFill="1" applyBorder="1" applyAlignment="1">
      <alignment vertical="top" wrapText="1"/>
    </xf>
    <xf numFmtId="0" fontId="11" fillId="2" borderId="1" xfId="0" applyFont="1" applyFill="1" applyBorder="1" applyAlignment="1">
      <alignment vertical="top" wrapText="1"/>
    </xf>
    <xf numFmtId="2" fontId="13" fillId="0" borderId="1" xfId="0" applyNumberFormat="1" applyFont="1" applyBorder="1" applyAlignment="1">
      <alignment vertical="top" wrapText="1"/>
    </xf>
    <xf numFmtId="165" fontId="15" fillId="0" borderId="0" xfId="0" applyNumberFormat="1" applyFont="1"/>
    <xf numFmtId="0" fontId="13" fillId="7" borderId="1" xfId="0" applyFont="1" applyFill="1" applyBorder="1" applyAlignment="1">
      <alignment vertical="top" wrapText="1"/>
    </xf>
    <xf numFmtId="0" fontId="15" fillId="0" borderId="0" xfId="0" applyFont="1" applyBorder="1"/>
    <xf numFmtId="0" fontId="13" fillId="0" borderId="0" xfId="0" applyFont="1" applyBorder="1" applyAlignment="1">
      <alignment vertical="top" wrapText="1"/>
    </xf>
    <xf numFmtId="0" fontId="15" fillId="0" borderId="0" xfId="0" applyFont="1" applyFill="1" applyBorder="1"/>
    <xf numFmtId="0" fontId="13" fillId="0" borderId="0" xfId="0" applyFont="1" applyFill="1" applyBorder="1" applyAlignment="1">
      <alignment vertical="top" wrapText="1"/>
    </xf>
    <xf numFmtId="0" fontId="14" fillId="0" borderId="0" xfId="0" applyFont="1" applyAlignment="1">
      <alignment vertical="center"/>
    </xf>
    <xf numFmtId="164" fontId="14" fillId="0" borderId="1" xfId="0" applyNumberFormat="1" applyFont="1" applyBorder="1" applyAlignment="1">
      <alignment vertical="top" wrapText="1"/>
    </xf>
    <xf numFmtId="164" fontId="14" fillId="0" borderId="1" xfId="0" applyNumberFormat="1" applyFont="1" applyFill="1" applyBorder="1" applyAlignment="1">
      <alignment vertical="top" wrapText="1"/>
    </xf>
    <xf numFmtId="0" fontId="14" fillId="0" borderId="0" xfId="0" applyFont="1"/>
    <xf numFmtId="2" fontId="13" fillId="0" borderId="1" xfId="0" applyNumberFormat="1" applyFont="1" applyBorder="1"/>
    <xf numFmtId="0" fontId="6" fillId="0" borderId="1"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center"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0" fillId="0" borderId="0" xfId="0" applyFont="1" applyFill="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4" fillId="0" borderId="0" xfId="0" applyFont="1" applyAlignment="1">
      <alignment horizontal="left" vertical="center"/>
    </xf>
    <xf numFmtId="0" fontId="14" fillId="0" borderId="0" xfId="0" applyFont="1" applyAlignment="1">
      <alignment vertical="center"/>
    </xf>
    <xf numFmtId="0" fontId="2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4" fillId="0" borderId="0" xfId="0" applyFont="1"/>
    <xf numFmtId="0" fontId="16" fillId="0" borderId="0" xfId="0" applyFont="1"/>
    <xf numFmtId="0" fontId="2" fillId="0" borderId="0" xfId="0" applyFont="1"/>
    <xf numFmtId="0" fontId="3" fillId="0" borderId="0" xfId="0" applyFont="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5"/>
  <sheetViews>
    <sheetView zoomScale="80" zoomScaleNormal="80" workbookViewId="0">
      <pane ySplit="9" topLeftCell="A10" activePane="bottomLeft" state="frozen"/>
      <selection pane="bottomLeft" activeCell="M206" sqref="M206"/>
    </sheetView>
  </sheetViews>
  <sheetFormatPr defaultRowHeight="15" x14ac:dyDescent="0.25"/>
  <cols>
    <col min="1" max="1" width="4.28515625" style="5" customWidth="1"/>
    <col min="2" max="2" width="10.28515625" customWidth="1"/>
    <col min="3" max="3" width="19.42578125" customWidth="1"/>
    <col min="4" max="4" width="9.140625" customWidth="1"/>
    <col min="5" max="5" width="8" customWidth="1"/>
    <col min="6" max="6" width="7.85546875" customWidth="1"/>
    <col min="7" max="7" width="9.140625" customWidth="1"/>
    <col min="8" max="8" width="11.42578125" bestFit="1" customWidth="1"/>
    <col min="9" max="9" width="12.5703125" customWidth="1"/>
    <col min="10" max="10" width="11.42578125" bestFit="1" customWidth="1"/>
    <col min="11" max="11" width="11.28515625" bestFit="1" customWidth="1"/>
    <col min="12" max="12" width="10.42578125" customWidth="1"/>
    <col min="13" max="13" width="10.5703125" customWidth="1"/>
    <col min="14" max="14" width="12" customWidth="1"/>
    <col min="15" max="15" width="11.28515625" customWidth="1"/>
    <col min="16" max="16" width="11.140625" customWidth="1"/>
    <col min="17" max="17" width="11.5703125" customWidth="1"/>
    <col min="18" max="18" width="12.140625" bestFit="1" customWidth="1"/>
    <col min="19" max="19" width="12" customWidth="1"/>
    <col min="20" max="20" width="11.85546875" customWidth="1"/>
    <col min="21" max="21" width="12.5703125" customWidth="1"/>
    <col min="22" max="22" width="13" customWidth="1"/>
  </cols>
  <sheetData>
    <row r="1" spans="2:22" ht="15.75" customHeight="1" x14ac:dyDescent="0.25">
      <c r="P1" s="161" t="s">
        <v>140</v>
      </c>
      <c r="Q1" s="161"/>
      <c r="R1" s="161"/>
      <c r="S1" s="161"/>
    </row>
    <row r="2" spans="2:22" ht="15.75" customHeight="1" x14ac:dyDescent="0.25">
      <c r="P2" s="162" t="s">
        <v>24</v>
      </c>
      <c r="Q2" s="162"/>
      <c r="R2" s="162"/>
      <c r="S2" s="162"/>
    </row>
    <row r="3" spans="2:22" ht="15.75" customHeight="1" x14ac:dyDescent="0.25">
      <c r="P3" s="162" t="s">
        <v>25</v>
      </c>
      <c r="Q3" s="162"/>
      <c r="R3" s="162"/>
      <c r="S3" s="162"/>
    </row>
    <row r="5" spans="2:22" ht="15.75" x14ac:dyDescent="0.25">
      <c r="B5" s="160" t="s">
        <v>1</v>
      </c>
      <c r="C5" s="160"/>
      <c r="D5" s="160"/>
      <c r="E5" s="160"/>
      <c r="F5" s="160"/>
      <c r="G5" s="160"/>
      <c r="H5" s="160"/>
      <c r="I5" s="160"/>
      <c r="J5" s="160"/>
      <c r="K5" s="160"/>
      <c r="L5" s="160"/>
      <c r="M5" s="160"/>
      <c r="N5" s="160"/>
      <c r="O5" s="160"/>
      <c r="P5" s="160"/>
      <c r="Q5" s="160"/>
      <c r="R5" s="160"/>
      <c r="S5" s="160"/>
    </row>
    <row r="6" spans="2:22" x14ac:dyDescent="0.25">
      <c r="B6" s="2"/>
      <c r="C6" s="2"/>
      <c r="D6" s="2"/>
      <c r="E6" s="2"/>
      <c r="F6" s="2"/>
      <c r="G6" s="2"/>
      <c r="H6" s="2"/>
      <c r="I6" s="2"/>
      <c r="J6" s="2"/>
      <c r="K6" s="2"/>
      <c r="L6" s="2"/>
      <c r="M6" s="2"/>
      <c r="N6" s="2"/>
      <c r="O6" s="2"/>
    </row>
    <row r="7" spans="2:22" ht="15.75" x14ac:dyDescent="0.25">
      <c r="B7" s="1" t="s">
        <v>0</v>
      </c>
    </row>
    <row r="8" spans="2:22" ht="38.25" customHeight="1" x14ac:dyDescent="0.25">
      <c r="B8" s="7"/>
      <c r="C8" s="7"/>
      <c r="D8" s="157" t="s">
        <v>2</v>
      </c>
      <c r="E8" s="157"/>
      <c r="F8" s="157" t="s">
        <v>3</v>
      </c>
      <c r="G8" s="157"/>
      <c r="H8" s="157" t="s">
        <v>4</v>
      </c>
      <c r="I8" s="157"/>
      <c r="J8" s="157" t="s">
        <v>5</v>
      </c>
      <c r="K8" s="157"/>
      <c r="L8" s="157" t="s">
        <v>6</v>
      </c>
      <c r="M8" s="157"/>
      <c r="N8" s="157" t="s">
        <v>7</v>
      </c>
      <c r="O8" s="157"/>
      <c r="P8" s="157" t="s">
        <v>8</v>
      </c>
      <c r="Q8" s="157"/>
      <c r="R8" s="163" t="s">
        <v>9</v>
      </c>
      <c r="S8" s="163"/>
    </row>
    <row r="9" spans="2:22" x14ac:dyDescent="0.25">
      <c r="B9" s="9" t="s">
        <v>10</v>
      </c>
      <c r="C9" s="9" t="s">
        <v>11</v>
      </c>
      <c r="D9" s="9" t="s">
        <v>12</v>
      </c>
      <c r="E9" s="9" t="s">
        <v>13</v>
      </c>
      <c r="F9" s="9" t="s">
        <v>12</v>
      </c>
      <c r="G9" s="9" t="s">
        <v>13</v>
      </c>
      <c r="H9" s="9" t="s">
        <v>12</v>
      </c>
      <c r="I9" s="9" t="s">
        <v>13</v>
      </c>
      <c r="J9" s="9" t="s">
        <v>12</v>
      </c>
      <c r="K9" s="9" t="s">
        <v>13</v>
      </c>
      <c r="L9" s="9" t="s">
        <v>12</v>
      </c>
      <c r="M9" s="9" t="s">
        <v>13</v>
      </c>
      <c r="N9" s="9" t="s">
        <v>12</v>
      </c>
      <c r="O9" s="9" t="s">
        <v>13</v>
      </c>
      <c r="P9" s="9" t="s">
        <v>12</v>
      </c>
      <c r="Q9" s="9" t="s">
        <v>13</v>
      </c>
      <c r="R9" s="9" t="s">
        <v>12</v>
      </c>
      <c r="S9" s="9" t="s">
        <v>13</v>
      </c>
    </row>
    <row r="10" spans="2:22" ht="38.25" hidden="1" x14ac:dyDescent="0.25">
      <c r="B10" s="56" t="s">
        <v>14</v>
      </c>
      <c r="C10" s="56" t="s">
        <v>949</v>
      </c>
      <c r="D10" s="56">
        <f>D11+D38</f>
        <v>0</v>
      </c>
      <c r="E10" s="56">
        <f t="shared" ref="E10:S10" si="0">E11+E38</f>
        <v>0</v>
      </c>
      <c r="F10" s="56">
        <f t="shared" si="0"/>
        <v>0</v>
      </c>
      <c r="G10" s="56">
        <f t="shared" si="0"/>
        <v>0</v>
      </c>
      <c r="H10" s="81">
        <f t="shared" si="0"/>
        <v>30763260.859999999</v>
      </c>
      <c r="I10" s="81">
        <f t="shared" si="0"/>
        <v>2202415.2800000003</v>
      </c>
      <c r="J10" s="81">
        <f t="shared" si="0"/>
        <v>8778276.2799999993</v>
      </c>
      <c r="K10" s="81">
        <f t="shared" si="0"/>
        <v>6645775.8700000001</v>
      </c>
      <c r="L10" s="81">
        <f t="shared" si="0"/>
        <v>6325002.0899999999</v>
      </c>
      <c r="M10" s="81">
        <f t="shared" si="0"/>
        <v>4736410.82</v>
      </c>
      <c r="N10" s="81">
        <f t="shared" si="0"/>
        <v>5677962.3400000008</v>
      </c>
      <c r="O10" s="81">
        <f t="shared" si="0"/>
        <v>4783674.87</v>
      </c>
      <c r="P10" s="81">
        <f t="shared" si="0"/>
        <v>1079109.9300000002</v>
      </c>
      <c r="Q10" s="81">
        <f t="shared" si="0"/>
        <v>436398.04</v>
      </c>
      <c r="R10" s="81">
        <f t="shared" si="0"/>
        <v>52623611.5</v>
      </c>
      <c r="S10" s="81">
        <f t="shared" si="0"/>
        <v>18804674.879999999</v>
      </c>
    </row>
    <row r="11" spans="2:22" ht="185.25" hidden="1" customHeight="1" x14ac:dyDescent="0.25">
      <c r="B11" s="10" t="s">
        <v>15</v>
      </c>
      <c r="C11" s="30" t="s">
        <v>148</v>
      </c>
      <c r="D11" s="39">
        <v>0</v>
      </c>
      <c r="E11" s="39">
        <v>0</v>
      </c>
      <c r="F11" s="39">
        <v>0</v>
      </c>
      <c r="G11" s="39">
        <f>G12+G32+G35</f>
        <v>0</v>
      </c>
      <c r="H11" s="79">
        <f t="shared" ref="H11:S11" si="1">H12+H32+H35</f>
        <v>30763260.859999999</v>
      </c>
      <c r="I11" s="79">
        <f t="shared" si="1"/>
        <v>2202415.2800000003</v>
      </c>
      <c r="J11" s="79">
        <f t="shared" si="1"/>
        <v>7533673.5</v>
      </c>
      <c r="K11" s="79">
        <f t="shared" si="1"/>
        <v>5587863.5099999998</v>
      </c>
      <c r="L11" s="79">
        <f t="shared" si="1"/>
        <v>4631494.7</v>
      </c>
      <c r="M11" s="79">
        <f t="shared" si="1"/>
        <v>3408612.66</v>
      </c>
      <c r="N11" s="79">
        <f t="shared" si="1"/>
        <v>1726424</v>
      </c>
      <c r="O11" s="79">
        <f t="shared" si="1"/>
        <v>1467459.5</v>
      </c>
      <c r="P11" s="79">
        <f t="shared" si="1"/>
        <v>0</v>
      </c>
      <c r="Q11" s="79">
        <f t="shared" si="1"/>
        <v>0</v>
      </c>
      <c r="R11" s="79">
        <f t="shared" si="1"/>
        <v>44654853.060000002</v>
      </c>
      <c r="S11" s="79">
        <f t="shared" si="1"/>
        <v>12666350.949999999</v>
      </c>
      <c r="T11" s="121"/>
      <c r="U11" s="121"/>
      <c r="V11" s="121"/>
    </row>
    <row r="12" spans="2:22" ht="115.5" hidden="1" customHeight="1" x14ac:dyDescent="0.25">
      <c r="B12" s="11" t="s">
        <v>16</v>
      </c>
      <c r="C12" s="25" t="s">
        <v>149</v>
      </c>
      <c r="D12" s="25">
        <v>0</v>
      </c>
      <c r="E12" s="25">
        <v>0</v>
      </c>
      <c r="F12" s="25">
        <v>0</v>
      </c>
      <c r="G12" s="25">
        <v>0</v>
      </c>
      <c r="H12" s="37">
        <f t="shared" ref="H12:S12" si="2">SUM(H28,H13)</f>
        <v>30763260.859999999</v>
      </c>
      <c r="I12" s="37">
        <f t="shared" si="2"/>
        <v>2202415.2800000003</v>
      </c>
      <c r="J12" s="37">
        <f>SUM(J28,J13)</f>
        <v>6628946.5</v>
      </c>
      <c r="K12" s="37">
        <f t="shared" si="2"/>
        <v>4818845.51</v>
      </c>
      <c r="L12" s="37">
        <f t="shared" si="2"/>
        <v>4631494.7</v>
      </c>
      <c r="M12" s="37">
        <f t="shared" si="2"/>
        <v>3408612.66</v>
      </c>
      <c r="N12" s="37">
        <f t="shared" si="2"/>
        <v>1726424</v>
      </c>
      <c r="O12" s="37">
        <f t="shared" si="2"/>
        <v>1467459.5</v>
      </c>
      <c r="P12" s="37">
        <f t="shared" si="2"/>
        <v>0</v>
      </c>
      <c r="Q12" s="37">
        <f t="shared" si="2"/>
        <v>0</v>
      </c>
      <c r="R12" s="37">
        <f t="shared" si="2"/>
        <v>43750126.060000002</v>
      </c>
      <c r="S12" s="117">
        <f t="shared" si="2"/>
        <v>11897332.949999999</v>
      </c>
      <c r="T12" s="121"/>
      <c r="U12" s="121"/>
      <c r="V12" s="121"/>
    </row>
    <row r="13" spans="2:22" ht="28.5" hidden="1" customHeight="1" x14ac:dyDescent="0.25">
      <c r="B13" s="92" t="s">
        <v>17</v>
      </c>
      <c r="C13" s="60" t="s">
        <v>150</v>
      </c>
      <c r="D13" s="60">
        <f t="shared" ref="D13:R13" si="3">SUM(D14:D27)</f>
        <v>0</v>
      </c>
      <c r="E13" s="60">
        <f t="shared" si="3"/>
        <v>0</v>
      </c>
      <c r="F13" s="60">
        <f t="shared" si="3"/>
        <v>0</v>
      </c>
      <c r="G13" s="60">
        <f t="shared" si="3"/>
        <v>0</v>
      </c>
      <c r="H13" s="60">
        <f>SUM(H14:H27)</f>
        <v>0</v>
      </c>
      <c r="I13" s="60">
        <f t="shared" si="3"/>
        <v>0</v>
      </c>
      <c r="J13" s="60">
        <f t="shared" si="3"/>
        <v>6347685.5</v>
      </c>
      <c r="K13" s="60">
        <f t="shared" si="3"/>
        <v>4579773.51</v>
      </c>
      <c r="L13" s="60">
        <f t="shared" si="3"/>
        <v>4631494.7</v>
      </c>
      <c r="M13" s="60">
        <f t="shared" si="3"/>
        <v>3408612.66</v>
      </c>
      <c r="N13" s="60">
        <f t="shared" si="3"/>
        <v>1726424</v>
      </c>
      <c r="O13" s="60">
        <f t="shared" si="3"/>
        <v>1467459.5</v>
      </c>
      <c r="P13" s="60">
        <f t="shared" si="3"/>
        <v>0</v>
      </c>
      <c r="Q13" s="60">
        <f t="shared" si="3"/>
        <v>0</v>
      </c>
      <c r="R13" s="60">
        <f t="shared" si="3"/>
        <v>12705604.199999999</v>
      </c>
      <c r="S13" s="92">
        <f>SUM(S14:S27)</f>
        <v>9455845.6699999999</v>
      </c>
      <c r="T13" s="121">
        <v>9455847</v>
      </c>
      <c r="U13" s="121">
        <f>T13-S13</f>
        <v>1.3300000000745058</v>
      </c>
      <c r="V13" s="121"/>
    </row>
    <row r="14" spans="2:22" s="5" customFormat="1" ht="44.25" hidden="1" customHeight="1" x14ac:dyDescent="0.25">
      <c r="B14" s="58" t="s">
        <v>50</v>
      </c>
      <c r="C14" s="59" t="s">
        <v>151</v>
      </c>
      <c r="D14" s="59">
        <v>0</v>
      </c>
      <c r="E14" s="59">
        <v>0</v>
      </c>
      <c r="F14" s="59">
        <v>0</v>
      </c>
      <c r="G14" s="59">
        <v>0</v>
      </c>
      <c r="H14" s="59">
        <v>0</v>
      </c>
      <c r="I14" s="59">
        <v>0</v>
      </c>
      <c r="J14" s="59">
        <v>0</v>
      </c>
      <c r="K14" s="59">
        <v>0</v>
      </c>
      <c r="L14" s="59">
        <f>'2 lentelė'!L11</f>
        <v>1774839.96</v>
      </c>
      <c r="M14" s="59">
        <f>'2 lentelė'!Q11</f>
        <v>1441407.94</v>
      </c>
      <c r="N14" s="59">
        <v>0</v>
      </c>
      <c r="O14" s="59">
        <v>0</v>
      </c>
      <c r="P14" s="59">
        <v>0</v>
      </c>
      <c r="Q14" s="59">
        <v>0</v>
      </c>
      <c r="R14" s="59">
        <f>D14+F14+H14+J14+L14+N14+P14</f>
        <v>1774839.96</v>
      </c>
      <c r="S14" s="58">
        <f>E14+G14+I14+K14+M14+O14+Q14</f>
        <v>1441407.94</v>
      </c>
      <c r="T14" s="121"/>
      <c r="U14" s="121"/>
      <c r="V14" s="121"/>
    </row>
    <row r="15" spans="2:22" s="5" customFormat="1" ht="45" hidden="1" customHeight="1" x14ac:dyDescent="0.25">
      <c r="B15" s="58" t="s">
        <v>51</v>
      </c>
      <c r="C15" s="59" t="s">
        <v>152</v>
      </c>
      <c r="D15" s="59">
        <v>0</v>
      </c>
      <c r="E15" s="59">
        <v>0</v>
      </c>
      <c r="F15" s="59">
        <v>0</v>
      </c>
      <c r="G15" s="59">
        <v>0</v>
      </c>
      <c r="H15" s="59">
        <v>0</v>
      </c>
      <c r="I15" s="59">
        <v>0</v>
      </c>
      <c r="J15" s="59">
        <f>'2 lentelė'!L12</f>
        <v>1142603.75</v>
      </c>
      <c r="K15" s="59">
        <f>'2 lentelė'!Q12</f>
        <v>881242</v>
      </c>
      <c r="L15" s="59">
        <v>0</v>
      </c>
      <c r="M15" s="59">
        <v>0</v>
      </c>
      <c r="N15" s="59">
        <v>0</v>
      </c>
      <c r="O15" s="59">
        <v>0</v>
      </c>
      <c r="P15" s="59">
        <v>0</v>
      </c>
      <c r="Q15" s="59">
        <v>0</v>
      </c>
      <c r="R15" s="59">
        <f>D15+F15+H15+J15+L15+N15+P15</f>
        <v>1142603.75</v>
      </c>
      <c r="S15" s="58">
        <f t="shared" ref="S15:S27" si="4">E15+G15+I15+K15+M15+O15+Q15</f>
        <v>881242</v>
      </c>
      <c r="T15" s="121"/>
      <c r="U15" s="121"/>
      <c r="V15" s="121"/>
    </row>
    <row r="16" spans="2:22" s="5" customFormat="1" ht="62.25" hidden="1" customHeight="1" x14ac:dyDescent="0.25">
      <c r="B16" s="58" t="s">
        <v>153</v>
      </c>
      <c r="C16" s="59" t="s">
        <v>154</v>
      </c>
      <c r="D16" s="59">
        <v>0</v>
      </c>
      <c r="E16" s="59">
        <v>0</v>
      </c>
      <c r="F16" s="59">
        <v>0</v>
      </c>
      <c r="G16" s="59">
        <v>0</v>
      </c>
      <c r="H16" s="59">
        <v>0</v>
      </c>
      <c r="I16" s="59">
        <v>0</v>
      </c>
      <c r="J16" s="59">
        <f>'2 lentelė'!L13</f>
        <v>672604.19</v>
      </c>
      <c r="K16" s="59">
        <f>'2 lentelė'!Q13</f>
        <v>571713.55000000005</v>
      </c>
      <c r="L16" s="59">
        <v>0</v>
      </c>
      <c r="M16" s="59">
        <v>0</v>
      </c>
      <c r="N16" s="59">
        <v>0</v>
      </c>
      <c r="O16" s="59">
        <v>0</v>
      </c>
      <c r="P16" s="59">
        <v>0</v>
      </c>
      <c r="Q16" s="59">
        <v>0</v>
      </c>
      <c r="R16" s="59">
        <f t="shared" ref="R16:R27" si="5">D16+F16+H16+J16+L16+N16+P16</f>
        <v>672604.19</v>
      </c>
      <c r="S16" s="58">
        <f t="shared" si="4"/>
        <v>571713.55000000005</v>
      </c>
      <c r="T16" s="121"/>
      <c r="U16" s="121"/>
      <c r="V16" s="121"/>
    </row>
    <row r="17" spans="2:22" s="5" customFormat="1" ht="57.75" hidden="1" customHeight="1" x14ac:dyDescent="0.25">
      <c r="B17" s="58" t="s">
        <v>155</v>
      </c>
      <c r="C17" s="59" t="s">
        <v>156</v>
      </c>
      <c r="D17" s="59">
        <v>0</v>
      </c>
      <c r="E17" s="59">
        <v>0</v>
      </c>
      <c r="F17" s="59">
        <v>0</v>
      </c>
      <c r="G17" s="59">
        <v>0</v>
      </c>
      <c r="H17" s="59">
        <v>0</v>
      </c>
      <c r="I17" s="59">
        <v>0</v>
      </c>
      <c r="J17" s="59">
        <v>0</v>
      </c>
      <c r="K17" s="59">
        <v>0</v>
      </c>
      <c r="L17" s="59">
        <v>0</v>
      </c>
      <c r="M17" s="59">
        <v>0</v>
      </c>
      <c r="N17" s="59">
        <f>'2 lentelė'!L14</f>
        <v>1426434</v>
      </c>
      <c r="O17" s="59">
        <f>'2 lentelė'!Q14</f>
        <v>1212468</v>
      </c>
      <c r="P17" s="59">
        <v>0</v>
      </c>
      <c r="Q17" s="59">
        <v>0</v>
      </c>
      <c r="R17" s="59">
        <f t="shared" si="5"/>
        <v>1426434</v>
      </c>
      <c r="S17" s="58">
        <f t="shared" si="4"/>
        <v>1212468</v>
      </c>
      <c r="T17" s="121"/>
      <c r="U17" s="121"/>
      <c r="V17" s="121"/>
    </row>
    <row r="18" spans="2:22" s="5" customFormat="1" ht="69.75" hidden="1" customHeight="1" x14ac:dyDescent="0.25">
      <c r="B18" s="58" t="s">
        <v>157</v>
      </c>
      <c r="C18" s="59" t="s">
        <v>158</v>
      </c>
      <c r="D18" s="59">
        <v>0</v>
      </c>
      <c r="E18" s="59">
        <v>0</v>
      </c>
      <c r="F18" s="59">
        <v>0</v>
      </c>
      <c r="G18" s="59">
        <v>0</v>
      </c>
      <c r="H18" s="59">
        <v>0</v>
      </c>
      <c r="I18" s="59">
        <v>0</v>
      </c>
      <c r="J18" s="59">
        <f>'2 lentelė'!L15</f>
        <v>985873.28</v>
      </c>
      <c r="K18" s="59">
        <f>'2 lentelė'!Q15</f>
        <v>492354</v>
      </c>
      <c r="L18" s="59">
        <v>0</v>
      </c>
      <c r="M18" s="59">
        <v>0</v>
      </c>
      <c r="N18" s="59">
        <v>0</v>
      </c>
      <c r="O18" s="59">
        <v>0</v>
      </c>
      <c r="P18" s="59">
        <v>0</v>
      </c>
      <c r="Q18" s="59">
        <v>0</v>
      </c>
      <c r="R18" s="59">
        <f t="shared" si="5"/>
        <v>985873.28</v>
      </c>
      <c r="S18" s="58">
        <f t="shared" si="4"/>
        <v>492354</v>
      </c>
      <c r="T18" s="121"/>
      <c r="U18" s="121"/>
      <c r="V18" s="121"/>
    </row>
    <row r="19" spans="2:22" s="5" customFormat="1" ht="66.75" hidden="1" customHeight="1" x14ac:dyDescent="0.25">
      <c r="B19" s="58" t="s">
        <v>159</v>
      </c>
      <c r="C19" s="59" t="s">
        <v>160</v>
      </c>
      <c r="D19" s="59">
        <v>0</v>
      </c>
      <c r="E19" s="59">
        <v>0</v>
      </c>
      <c r="F19" s="59">
        <v>0</v>
      </c>
      <c r="G19" s="59">
        <v>0</v>
      </c>
      <c r="H19" s="59">
        <v>0</v>
      </c>
      <c r="I19" s="59">
        <v>0</v>
      </c>
      <c r="J19" s="59">
        <v>0</v>
      </c>
      <c r="K19" s="59">
        <v>0</v>
      </c>
      <c r="L19" s="59">
        <f>'2 lentelė'!L16</f>
        <v>282353</v>
      </c>
      <c r="M19" s="59">
        <f>'2 lentelė'!Q16</f>
        <v>240000</v>
      </c>
      <c r="N19" s="59">
        <v>0</v>
      </c>
      <c r="O19" s="59">
        <v>0</v>
      </c>
      <c r="P19" s="59">
        <v>0</v>
      </c>
      <c r="Q19" s="59">
        <v>0</v>
      </c>
      <c r="R19" s="59">
        <f>D19+F19+H19+J19+L19+N19+P19</f>
        <v>282353</v>
      </c>
      <c r="S19" s="58">
        <f>E19+G19+I19+K19+M19+O19+Q19</f>
        <v>240000</v>
      </c>
      <c r="T19" s="121"/>
      <c r="U19" s="121"/>
      <c r="V19" s="121"/>
    </row>
    <row r="20" spans="2:22" s="5" customFormat="1" ht="54" hidden="1" customHeight="1" x14ac:dyDescent="0.25">
      <c r="B20" s="58" t="s">
        <v>161</v>
      </c>
      <c r="C20" s="59" t="s">
        <v>162</v>
      </c>
      <c r="D20" s="59">
        <v>0</v>
      </c>
      <c r="E20" s="59">
        <v>0</v>
      </c>
      <c r="F20" s="59">
        <v>0</v>
      </c>
      <c r="G20" s="59">
        <v>0</v>
      </c>
      <c r="H20" s="59">
        <v>0</v>
      </c>
      <c r="I20" s="59">
        <v>0</v>
      </c>
      <c r="J20" s="59">
        <v>0</v>
      </c>
      <c r="K20" s="59">
        <v>0</v>
      </c>
      <c r="L20" s="59">
        <f>'2 lentelė'!L17</f>
        <v>827649.08</v>
      </c>
      <c r="M20" s="59">
        <f>'2 lentelė'!Q17</f>
        <v>703501.72</v>
      </c>
      <c r="N20" s="59">
        <v>0</v>
      </c>
      <c r="O20" s="59">
        <v>0</v>
      </c>
      <c r="P20" s="59">
        <v>0</v>
      </c>
      <c r="Q20" s="59">
        <v>0</v>
      </c>
      <c r="R20" s="59">
        <f t="shared" si="5"/>
        <v>827649.08</v>
      </c>
      <c r="S20" s="58">
        <f t="shared" si="4"/>
        <v>703501.72</v>
      </c>
      <c r="T20" s="121"/>
      <c r="U20" s="121"/>
      <c r="V20" s="121"/>
    </row>
    <row r="21" spans="2:22" s="5" customFormat="1" ht="105" hidden="1" customHeight="1" x14ac:dyDescent="0.25">
      <c r="B21" s="58" t="s">
        <v>163</v>
      </c>
      <c r="C21" s="59" t="s">
        <v>164</v>
      </c>
      <c r="D21" s="59">
        <v>0</v>
      </c>
      <c r="E21" s="59">
        <v>0</v>
      </c>
      <c r="F21" s="59">
        <v>0</v>
      </c>
      <c r="G21" s="59">
        <v>0</v>
      </c>
      <c r="H21" s="59">
        <v>0</v>
      </c>
      <c r="I21" s="59">
        <v>0</v>
      </c>
      <c r="J21" s="59">
        <f>'2 lentelė'!L18</f>
        <v>633181</v>
      </c>
      <c r="K21" s="59">
        <f>'2 lentelė'!Q18</f>
        <v>528358</v>
      </c>
      <c r="L21" s="59">
        <v>0</v>
      </c>
      <c r="M21" s="59">
        <v>0</v>
      </c>
      <c r="N21" s="59">
        <v>0</v>
      </c>
      <c r="O21" s="59">
        <v>0</v>
      </c>
      <c r="P21" s="59">
        <v>0</v>
      </c>
      <c r="Q21" s="59">
        <v>0</v>
      </c>
      <c r="R21" s="59">
        <f t="shared" si="5"/>
        <v>633181</v>
      </c>
      <c r="S21" s="58">
        <f t="shared" si="4"/>
        <v>528358</v>
      </c>
      <c r="T21" s="121"/>
      <c r="U21" s="121"/>
      <c r="V21" s="121"/>
    </row>
    <row r="22" spans="2:22" s="5" customFormat="1" ht="49.5" hidden="1" customHeight="1" x14ac:dyDescent="0.25">
      <c r="B22" s="58" t="s">
        <v>165</v>
      </c>
      <c r="C22" s="59" t="s">
        <v>166</v>
      </c>
      <c r="D22" s="59">
        <v>0</v>
      </c>
      <c r="E22" s="59">
        <v>0</v>
      </c>
      <c r="F22" s="59">
        <v>0</v>
      </c>
      <c r="G22" s="59">
        <v>0</v>
      </c>
      <c r="H22" s="59">
        <v>0</v>
      </c>
      <c r="I22" s="59">
        <v>0</v>
      </c>
      <c r="J22" s="59">
        <v>0</v>
      </c>
      <c r="K22" s="59">
        <v>0</v>
      </c>
      <c r="L22" s="59">
        <f>'2 lentelė'!L19</f>
        <v>1137262.6599999999</v>
      </c>
      <c r="M22" s="59">
        <f>'2 lentelė'!Q19</f>
        <v>700000</v>
      </c>
      <c r="N22" s="59">
        <v>0</v>
      </c>
      <c r="O22" s="59">
        <v>0</v>
      </c>
      <c r="P22" s="59">
        <v>0</v>
      </c>
      <c r="Q22" s="59">
        <v>0</v>
      </c>
      <c r="R22" s="59">
        <f>L22+N22+P22</f>
        <v>1137262.6599999999</v>
      </c>
      <c r="S22" s="58">
        <f>M22+O22+Q22</f>
        <v>700000</v>
      </c>
      <c r="T22" s="121"/>
      <c r="U22" s="121"/>
      <c r="V22" s="121"/>
    </row>
    <row r="23" spans="2:22" s="5" customFormat="1" ht="44.25" hidden="1" customHeight="1" x14ac:dyDescent="0.25">
      <c r="B23" s="58" t="s">
        <v>167</v>
      </c>
      <c r="C23" s="59" t="s">
        <v>168</v>
      </c>
      <c r="D23" s="59">
        <v>0</v>
      </c>
      <c r="E23" s="59">
        <v>0</v>
      </c>
      <c r="F23" s="59">
        <v>0</v>
      </c>
      <c r="G23" s="59">
        <v>0</v>
      </c>
      <c r="H23" s="59">
        <v>0</v>
      </c>
      <c r="I23" s="59">
        <v>0</v>
      </c>
      <c r="J23" s="59">
        <f>'2 lentelė'!L20</f>
        <v>1365071.92</v>
      </c>
      <c r="K23" s="59">
        <f>'2 lentelė'!Q20</f>
        <v>865499.4</v>
      </c>
      <c r="L23" s="59">
        <v>0</v>
      </c>
      <c r="M23" s="59">
        <v>0</v>
      </c>
      <c r="N23" s="59">
        <v>0</v>
      </c>
      <c r="O23" s="59">
        <v>0</v>
      </c>
      <c r="P23" s="59">
        <v>0</v>
      </c>
      <c r="Q23" s="59">
        <v>0</v>
      </c>
      <c r="R23" s="59">
        <f>D23+F23+H23+J23+L23+N23+P23</f>
        <v>1365071.92</v>
      </c>
      <c r="S23" s="58">
        <f t="shared" si="4"/>
        <v>865499.4</v>
      </c>
      <c r="T23" s="121"/>
      <c r="U23" s="121"/>
      <c r="V23" s="121"/>
    </row>
    <row r="24" spans="2:22" s="5" customFormat="1" ht="68.25" hidden="1" customHeight="1" x14ac:dyDescent="0.25">
      <c r="B24" s="58" t="s">
        <v>169</v>
      </c>
      <c r="C24" s="59" t="s">
        <v>170</v>
      </c>
      <c r="D24" s="59">
        <v>0</v>
      </c>
      <c r="E24" s="59">
        <v>0</v>
      </c>
      <c r="F24" s="59">
        <v>0</v>
      </c>
      <c r="G24" s="59">
        <v>0</v>
      </c>
      <c r="H24" s="59">
        <v>0</v>
      </c>
      <c r="I24" s="59">
        <v>0</v>
      </c>
      <c r="J24" s="59">
        <v>0</v>
      </c>
      <c r="K24" s="59">
        <v>0</v>
      </c>
      <c r="L24" s="59">
        <v>0</v>
      </c>
      <c r="M24" s="59">
        <v>0</v>
      </c>
      <c r="N24" s="59">
        <f>'2 lentelė'!L21</f>
        <v>299990</v>
      </c>
      <c r="O24" s="59">
        <f>'2 lentelė'!Q21</f>
        <v>254991.5</v>
      </c>
      <c r="P24" s="59">
        <v>0</v>
      </c>
      <c r="Q24" s="59">
        <v>0</v>
      </c>
      <c r="R24" s="59">
        <f t="shared" si="5"/>
        <v>299990</v>
      </c>
      <c r="S24" s="58">
        <f t="shared" si="4"/>
        <v>254991.5</v>
      </c>
      <c r="T24" s="121"/>
      <c r="U24" s="121"/>
      <c r="V24" s="121"/>
    </row>
    <row r="25" spans="2:22" s="5" customFormat="1" ht="53.25" hidden="1" customHeight="1" x14ac:dyDescent="0.25">
      <c r="B25" s="58" t="s">
        <v>171</v>
      </c>
      <c r="C25" s="59" t="s">
        <v>172</v>
      </c>
      <c r="D25" s="59">
        <v>0</v>
      </c>
      <c r="E25" s="59">
        <v>0</v>
      </c>
      <c r="F25" s="59">
        <v>0</v>
      </c>
      <c r="G25" s="59">
        <v>0</v>
      </c>
      <c r="H25" s="59">
        <v>0</v>
      </c>
      <c r="I25" s="59">
        <v>0</v>
      </c>
      <c r="J25" s="59">
        <f>'2 lentelė'!L22</f>
        <v>1029990.44</v>
      </c>
      <c r="K25" s="59">
        <f>'2 lentelė'!Q22</f>
        <v>799999.78</v>
      </c>
      <c r="L25" s="59">
        <v>0</v>
      </c>
      <c r="M25" s="59">
        <v>0</v>
      </c>
      <c r="N25" s="59">
        <v>0</v>
      </c>
      <c r="O25" s="59">
        <v>0</v>
      </c>
      <c r="P25" s="59">
        <v>0</v>
      </c>
      <c r="Q25" s="59">
        <v>0</v>
      </c>
      <c r="R25" s="59">
        <f t="shared" si="5"/>
        <v>1029990.44</v>
      </c>
      <c r="S25" s="58">
        <f t="shared" si="4"/>
        <v>799999.78</v>
      </c>
      <c r="T25" s="121"/>
      <c r="U25" s="121"/>
      <c r="V25" s="121"/>
    </row>
    <row r="26" spans="2:22" s="5" customFormat="1" ht="64.5" hidden="1" customHeight="1" x14ac:dyDescent="0.25">
      <c r="B26" s="58" t="s">
        <v>173</v>
      </c>
      <c r="C26" s="59" t="s">
        <v>174</v>
      </c>
      <c r="D26" s="59">
        <v>0</v>
      </c>
      <c r="E26" s="59">
        <v>0</v>
      </c>
      <c r="F26" s="59">
        <v>0</v>
      </c>
      <c r="G26" s="59">
        <v>0</v>
      </c>
      <c r="H26" s="59">
        <v>0</v>
      </c>
      <c r="I26" s="59">
        <v>0</v>
      </c>
      <c r="J26" s="59">
        <v>0</v>
      </c>
      <c r="K26" s="59">
        <v>0</v>
      </c>
      <c r="L26" s="59">
        <f>'2 lentelė'!L23</f>
        <v>609390</v>
      </c>
      <c r="M26" s="59">
        <f>'2 lentelė'!Q23</f>
        <v>323703</v>
      </c>
      <c r="N26" s="59">
        <v>0</v>
      </c>
      <c r="O26" s="59">
        <v>0</v>
      </c>
      <c r="P26" s="59">
        <v>0</v>
      </c>
      <c r="Q26" s="59">
        <v>0</v>
      </c>
      <c r="R26" s="59">
        <f>D26+F26+H26+J26+L26+N26+P26</f>
        <v>609390</v>
      </c>
      <c r="S26" s="58">
        <f t="shared" si="4"/>
        <v>323703</v>
      </c>
      <c r="T26" s="121"/>
      <c r="U26" s="121"/>
      <c r="V26" s="121"/>
    </row>
    <row r="27" spans="2:22" s="5" customFormat="1" ht="51" hidden="1" customHeight="1" x14ac:dyDescent="0.25">
      <c r="B27" s="13" t="s">
        <v>175</v>
      </c>
      <c r="C27" s="18" t="s">
        <v>176</v>
      </c>
      <c r="D27" s="18">
        <v>0</v>
      </c>
      <c r="E27" s="18">
        <v>0</v>
      </c>
      <c r="F27" s="18">
        <v>0</v>
      </c>
      <c r="G27" s="18">
        <v>0</v>
      </c>
      <c r="H27" s="59">
        <v>0</v>
      </c>
      <c r="I27" s="59">
        <v>0</v>
      </c>
      <c r="J27" s="59">
        <f>'2 lentelė'!L24</f>
        <v>518360.92</v>
      </c>
      <c r="K27" s="59">
        <f>'2 lentelė'!Q24</f>
        <v>440606.78</v>
      </c>
      <c r="L27" s="59">
        <v>0</v>
      </c>
      <c r="M27" s="59">
        <v>0</v>
      </c>
      <c r="N27" s="59">
        <v>0</v>
      </c>
      <c r="O27" s="59">
        <v>0</v>
      </c>
      <c r="P27" s="59">
        <v>0</v>
      </c>
      <c r="Q27" s="59">
        <v>0</v>
      </c>
      <c r="R27" s="59">
        <f t="shared" si="5"/>
        <v>518360.92</v>
      </c>
      <c r="S27" s="58">
        <f t="shared" si="4"/>
        <v>440606.78</v>
      </c>
      <c r="T27" s="121"/>
      <c r="U27" s="121"/>
      <c r="V27" s="121"/>
    </row>
    <row r="28" spans="2:22" ht="55.5" hidden="1" customHeight="1" x14ac:dyDescent="0.25">
      <c r="B28" s="26" t="s">
        <v>18</v>
      </c>
      <c r="C28" s="27" t="s">
        <v>177</v>
      </c>
      <c r="D28" s="27">
        <v>0</v>
      </c>
      <c r="E28" s="27">
        <v>0</v>
      </c>
      <c r="F28" s="27">
        <v>0</v>
      </c>
      <c r="G28" s="27">
        <v>0</v>
      </c>
      <c r="H28" s="60">
        <f t="shared" ref="H28:R28" si="6">SUM(H29:H31)</f>
        <v>30763260.859999999</v>
      </c>
      <c r="I28" s="60">
        <f t="shared" si="6"/>
        <v>2202415.2800000003</v>
      </c>
      <c r="J28" s="60">
        <f t="shared" si="6"/>
        <v>281261</v>
      </c>
      <c r="K28" s="60">
        <f t="shared" si="6"/>
        <v>239072</v>
      </c>
      <c r="L28" s="60">
        <f t="shared" si="6"/>
        <v>0</v>
      </c>
      <c r="M28" s="60">
        <f t="shared" si="6"/>
        <v>0</v>
      </c>
      <c r="N28" s="60">
        <f t="shared" si="6"/>
        <v>0</v>
      </c>
      <c r="O28" s="60">
        <f t="shared" si="6"/>
        <v>0</v>
      </c>
      <c r="P28" s="60">
        <f t="shared" si="6"/>
        <v>0</v>
      </c>
      <c r="Q28" s="60">
        <f t="shared" si="6"/>
        <v>0</v>
      </c>
      <c r="R28" s="60">
        <f t="shared" si="6"/>
        <v>31044521.859999999</v>
      </c>
      <c r="S28" s="92">
        <f>SUM(S29:S31)</f>
        <v>2441487.2800000003</v>
      </c>
      <c r="T28" s="121"/>
      <c r="U28" s="121"/>
      <c r="V28" s="121"/>
    </row>
    <row r="29" spans="2:22" s="5" customFormat="1" ht="57.75" hidden="1" customHeight="1" x14ac:dyDescent="0.25">
      <c r="B29" s="28" t="s">
        <v>53</v>
      </c>
      <c r="C29" s="29" t="s">
        <v>178</v>
      </c>
      <c r="D29" s="29">
        <v>0</v>
      </c>
      <c r="E29" s="29">
        <v>0</v>
      </c>
      <c r="F29" s="29">
        <v>0</v>
      </c>
      <c r="G29" s="29">
        <v>0</v>
      </c>
      <c r="H29" s="54">
        <v>0</v>
      </c>
      <c r="I29" s="54">
        <v>0</v>
      </c>
      <c r="J29" s="54">
        <f>'2 lentelė'!L26</f>
        <v>281261</v>
      </c>
      <c r="K29" s="54">
        <f>'2 lentelė'!Q26</f>
        <v>239072</v>
      </c>
      <c r="L29" s="54">
        <v>0</v>
      </c>
      <c r="M29" s="54">
        <v>0</v>
      </c>
      <c r="N29" s="54">
        <v>0</v>
      </c>
      <c r="O29" s="54">
        <v>0</v>
      </c>
      <c r="P29" s="54">
        <v>0</v>
      </c>
      <c r="Q29" s="54">
        <v>0</v>
      </c>
      <c r="R29" s="54">
        <f t="shared" ref="R29:S31" si="7">D29+F29+H29+J29+L29+N29+P29</f>
        <v>281261</v>
      </c>
      <c r="S29" s="88">
        <f t="shared" si="7"/>
        <v>239072</v>
      </c>
      <c r="T29" s="121"/>
      <c r="U29" s="121"/>
      <c r="V29" s="121"/>
    </row>
    <row r="30" spans="2:22" s="5" customFormat="1" ht="117.75" hidden="1" customHeight="1" x14ac:dyDescent="0.25">
      <c r="B30" s="28" t="s">
        <v>54</v>
      </c>
      <c r="C30" s="29" t="s">
        <v>179</v>
      </c>
      <c r="D30" s="29">
        <v>0</v>
      </c>
      <c r="E30" s="29">
        <v>0</v>
      </c>
      <c r="F30" s="29">
        <v>0</v>
      </c>
      <c r="G30" s="29">
        <v>0</v>
      </c>
      <c r="H30" s="54">
        <f>'2 lentelė'!L27</f>
        <v>29667711.210000001</v>
      </c>
      <c r="I30" s="54">
        <f>'2 lentelė'!Q27</f>
        <v>1333555.3</v>
      </c>
      <c r="J30" s="54">
        <v>0</v>
      </c>
      <c r="K30" s="54">
        <v>0</v>
      </c>
      <c r="L30" s="54">
        <v>0</v>
      </c>
      <c r="M30" s="54">
        <v>0</v>
      </c>
      <c r="N30" s="54">
        <v>0</v>
      </c>
      <c r="O30" s="54">
        <v>0</v>
      </c>
      <c r="P30" s="54">
        <v>0</v>
      </c>
      <c r="Q30" s="54">
        <v>0</v>
      </c>
      <c r="R30" s="54">
        <f t="shared" si="7"/>
        <v>29667711.210000001</v>
      </c>
      <c r="S30" s="88">
        <f t="shared" si="7"/>
        <v>1333555.3</v>
      </c>
      <c r="T30" s="121"/>
      <c r="U30" s="121"/>
      <c r="V30" s="121"/>
    </row>
    <row r="31" spans="2:22" s="5" customFormat="1" ht="41.25" hidden="1" customHeight="1" x14ac:dyDescent="0.25">
      <c r="B31" s="28" t="s">
        <v>180</v>
      </c>
      <c r="C31" s="29" t="s">
        <v>181</v>
      </c>
      <c r="D31" s="29">
        <v>0</v>
      </c>
      <c r="E31" s="29">
        <v>0</v>
      </c>
      <c r="F31" s="29">
        <v>0</v>
      </c>
      <c r="G31" s="29">
        <v>0</v>
      </c>
      <c r="H31" s="54">
        <f>'2 lentelė'!L28</f>
        <v>1095549.6499999999</v>
      </c>
      <c r="I31" s="54">
        <f>'2 lentelė'!Q28</f>
        <v>868859.98</v>
      </c>
      <c r="J31" s="54">
        <v>0</v>
      </c>
      <c r="K31" s="54">
        <v>0</v>
      </c>
      <c r="L31" s="54">
        <v>0</v>
      </c>
      <c r="M31" s="54">
        <v>0</v>
      </c>
      <c r="N31" s="54">
        <v>0</v>
      </c>
      <c r="O31" s="54">
        <v>0</v>
      </c>
      <c r="P31" s="54">
        <v>0</v>
      </c>
      <c r="Q31" s="54">
        <v>0</v>
      </c>
      <c r="R31" s="54">
        <f t="shared" si="7"/>
        <v>1095549.6499999999</v>
      </c>
      <c r="S31" s="88">
        <f t="shared" si="7"/>
        <v>868859.98</v>
      </c>
      <c r="T31" s="121"/>
      <c r="U31" s="121"/>
      <c r="V31" s="121"/>
    </row>
    <row r="32" spans="2:22" ht="114.75" hidden="1" x14ac:dyDescent="0.25">
      <c r="B32" s="11" t="s">
        <v>19</v>
      </c>
      <c r="C32" s="25" t="s">
        <v>182</v>
      </c>
      <c r="D32" s="25">
        <v>0</v>
      </c>
      <c r="E32" s="25">
        <v>0</v>
      </c>
      <c r="F32" s="25">
        <v>0</v>
      </c>
      <c r="G32" s="25">
        <f>G33</f>
        <v>0</v>
      </c>
      <c r="H32" s="37">
        <f t="shared" ref="H32:S32" si="8">H33</f>
        <v>0</v>
      </c>
      <c r="I32" s="37">
        <f t="shared" si="8"/>
        <v>0</v>
      </c>
      <c r="J32" s="37">
        <f t="shared" si="8"/>
        <v>904727</v>
      </c>
      <c r="K32" s="37">
        <f t="shared" si="8"/>
        <v>769018</v>
      </c>
      <c r="L32" s="37">
        <f t="shared" si="8"/>
        <v>0</v>
      </c>
      <c r="M32" s="37">
        <f t="shared" si="8"/>
        <v>0</v>
      </c>
      <c r="N32" s="37">
        <f t="shared" si="8"/>
        <v>0</v>
      </c>
      <c r="O32" s="37">
        <f t="shared" si="8"/>
        <v>0</v>
      </c>
      <c r="P32" s="37">
        <f t="shared" si="8"/>
        <v>0</v>
      </c>
      <c r="Q32" s="37">
        <f t="shared" si="8"/>
        <v>0</v>
      </c>
      <c r="R32" s="37">
        <f t="shared" si="8"/>
        <v>904727</v>
      </c>
      <c r="S32" s="37">
        <f t="shared" si="8"/>
        <v>769018</v>
      </c>
      <c r="T32" s="121"/>
      <c r="U32" s="121"/>
      <c r="V32" s="121"/>
    </row>
    <row r="33" spans="2:22" ht="38.25" hidden="1" x14ac:dyDescent="0.25">
      <c r="B33" s="27" t="s">
        <v>20</v>
      </c>
      <c r="C33" s="27" t="s">
        <v>183</v>
      </c>
      <c r="D33" s="27">
        <v>0</v>
      </c>
      <c r="E33" s="27">
        <v>0</v>
      </c>
      <c r="F33" s="27">
        <v>0</v>
      </c>
      <c r="G33" s="27">
        <f>G34</f>
        <v>0</v>
      </c>
      <c r="H33" s="60">
        <f t="shared" ref="H33:S33" si="9">H34</f>
        <v>0</v>
      </c>
      <c r="I33" s="60">
        <f t="shared" si="9"/>
        <v>0</v>
      </c>
      <c r="J33" s="60">
        <f t="shared" si="9"/>
        <v>904727</v>
      </c>
      <c r="K33" s="60">
        <f t="shared" si="9"/>
        <v>769018</v>
      </c>
      <c r="L33" s="60">
        <f t="shared" si="9"/>
        <v>0</v>
      </c>
      <c r="M33" s="60">
        <f t="shared" si="9"/>
        <v>0</v>
      </c>
      <c r="N33" s="60">
        <f t="shared" si="9"/>
        <v>0</v>
      </c>
      <c r="O33" s="60">
        <f t="shared" si="9"/>
        <v>0</v>
      </c>
      <c r="P33" s="60">
        <f t="shared" si="9"/>
        <v>0</v>
      </c>
      <c r="Q33" s="60">
        <f t="shared" si="9"/>
        <v>0</v>
      </c>
      <c r="R33" s="60">
        <f t="shared" si="9"/>
        <v>904727</v>
      </c>
      <c r="S33" s="60">
        <f t="shared" si="9"/>
        <v>769018</v>
      </c>
      <c r="T33" s="121"/>
      <c r="U33" s="121"/>
      <c r="V33" s="121"/>
    </row>
    <row r="34" spans="2:22" s="5" customFormat="1" ht="144.75" hidden="1" customHeight="1" x14ac:dyDescent="0.25">
      <c r="B34" s="28" t="s">
        <v>184</v>
      </c>
      <c r="C34" s="29" t="s">
        <v>185</v>
      </c>
      <c r="D34" s="31">
        <v>0</v>
      </c>
      <c r="E34" s="31">
        <v>0</v>
      </c>
      <c r="F34" s="31">
        <v>0</v>
      </c>
      <c r="G34" s="31">
        <v>0</v>
      </c>
      <c r="H34" s="51">
        <v>0</v>
      </c>
      <c r="I34" s="51">
        <v>0</v>
      </c>
      <c r="J34" s="51">
        <f>'2 lentelė'!L31</f>
        <v>904727</v>
      </c>
      <c r="K34" s="51">
        <f>'2 lentelė'!Q31</f>
        <v>769018</v>
      </c>
      <c r="L34" s="51">
        <v>0</v>
      </c>
      <c r="M34" s="51">
        <v>0</v>
      </c>
      <c r="N34" s="51">
        <v>0</v>
      </c>
      <c r="O34" s="51">
        <v>0</v>
      </c>
      <c r="P34" s="51">
        <v>0</v>
      </c>
      <c r="Q34" s="51">
        <v>0</v>
      </c>
      <c r="R34" s="51">
        <f>D34+F34+H34+J34+L34+N34+P34</f>
        <v>904727</v>
      </c>
      <c r="S34" s="51">
        <f>E34+G34+I34+K34+M34+O34+Q34</f>
        <v>769018</v>
      </c>
      <c r="T34" s="121"/>
      <c r="U34" s="121"/>
      <c r="V34" s="121"/>
    </row>
    <row r="35" spans="2:22" s="5" customFormat="1" ht="131.25" hidden="1" customHeight="1" x14ac:dyDescent="0.25">
      <c r="B35" s="11" t="s">
        <v>186</v>
      </c>
      <c r="C35" s="25" t="s">
        <v>187</v>
      </c>
      <c r="D35" s="25">
        <v>0</v>
      </c>
      <c r="E35" s="25">
        <v>0</v>
      </c>
      <c r="F35" s="25">
        <v>0</v>
      </c>
      <c r="G35" s="25">
        <v>0</v>
      </c>
      <c r="H35" s="37">
        <v>0</v>
      </c>
      <c r="I35" s="37">
        <v>0</v>
      </c>
      <c r="J35" s="37">
        <v>0</v>
      </c>
      <c r="K35" s="117">
        <v>0</v>
      </c>
      <c r="L35" s="117">
        <v>0</v>
      </c>
      <c r="M35" s="37">
        <v>0</v>
      </c>
      <c r="N35" s="37">
        <v>0</v>
      </c>
      <c r="O35" s="37">
        <v>0</v>
      </c>
      <c r="P35" s="37">
        <v>0</v>
      </c>
      <c r="Q35" s="37">
        <v>0</v>
      </c>
      <c r="R35" s="37">
        <v>0</v>
      </c>
      <c r="S35" s="37">
        <v>0</v>
      </c>
      <c r="T35" s="121"/>
      <c r="U35" s="121"/>
      <c r="V35" s="121"/>
    </row>
    <row r="36" spans="2:22" s="5" customFormat="1" ht="71.25" hidden="1" customHeight="1" x14ac:dyDescent="0.25">
      <c r="B36" s="27" t="s">
        <v>188</v>
      </c>
      <c r="C36" s="27" t="s">
        <v>189</v>
      </c>
      <c r="D36" s="27">
        <v>0</v>
      </c>
      <c r="E36" s="27">
        <v>0</v>
      </c>
      <c r="F36" s="27">
        <v>0</v>
      </c>
      <c r="G36" s="27">
        <v>0</v>
      </c>
      <c r="H36" s="60">
        <v>0</v>
      </c>
      <c r="I36" s="60">
        <v>0</v>
      </c>
      <c r="J36" s="60">
        <v>0</v>
      </c>
      <c r="K36" s="60">
        <v>0</v>
      </c>
      <c r="L36" s="60">
        <v>0</v>
      </c>
      <c r="M36" s="60">
        <v>0</v>
      </c>
      <c r="N36" s="60">
        <v>0</v>
      </c>
      <c r="O36" s="60">
        <v>0</v>
      </c>
      <c r="P36" s="60">
        <v>0</v>
      </c>
      <c r="Q36" s="60">
        <v>0</v>
      </c>
      <c r="R36" s="60">
        <v>0</v>
      </c>
      <c r="S36" s="60">
        <v>0</v>
      </c>
      <c r="T36" s="121"/>
      <c r="U36" s="121"/>
      <c r="V36" s="121"/>
    </row>
    <row r="37" spans="2:22" s="5" customFormat="1" ht="74.25" hidden="1" customHeight="1" x14ac:dyDescent="0.25">
      <c r="B37" s="27" t="s">
        <v>190</v>
      </c>
      <c r="C37" s="27" t="s">
        <v>191</v>
      </c>
      <c r="D37" s="27">
        <v>0</v>
      </c>
      <c r="E37" s="27">
        <v>0</v>
      </c>
      <c r="F37" s="27">
        <v>0</v>
      </c>
      <c r="G37" s="27">
        <v>0</v>
      </c>
      <c r="H37" s="60">
        <v>0</v>
      </c>
      <c r="I37" s="60">
        <v>0</v>
      </c>
      <c r="J37" s="60">
        <v>0</v>
      </c>
      <c r="K37" s="60">
        <v>0</v>
      </c>
      <c r="L37" s="60">
        <v>0</v>
      </c>
      <c r="M37" s="60">
        <v>0</v>
      </c>
      <c r="N37" s="60">
        <v>0</v>
      </c>
      <c r="O37" s="60">
        <v>0</v>
      </c>
      <c r="P37" s="60">
        <v>0</v>
      </c>
      <c r="Q37" s="60">
        <v>0</v>
      </c>
      <c r="R37" s="60">
        <v>0</v>
      </c>
      <c r="S37" s="60">
        <v>0</v>
      </c>
      <c r="T37" s="121"/>
      <c r="U37" s="121"/>
      <c r="V37" s="121"/>
    </row>
    <row r="38" spans="2:22" s="5" customFormat="1" ht="76.5" hidden="1" customHeight="1" x14ac:dyDescent="0.25">
      <c r="B38" s="14" t="s">
        <v>21</v>
      </c>
      <c r="C38" s="32" t="s">
        <v>192</v>
      </c>
      <c r="D38" s="38">
        <v>0</v>
      </c>
      <c r="E38" s="14">
        <v>0</v>
      </c>
      <c r="F38" s="14">
        <v>0</v>
      </c>
      <c r="G38" s="32">
        <f>G39+G54</f>
        <v>0</v>
      </c>
      <c r="H38" s="125">
        <f t="shared" ref="H38:S38" si="10">H39+H54</f>
        <v>0</v>
      </c>
      <c r="I38" s="125">
        <f t="shared" si="10"/>
        <v>0</v>
      </c>
      <c r="J38" s="125">
        <f t="shared" si="10"/>
        <v>1244602.7799999998</v>
      </c>
      <c r="K38" s="125">
        <f t="shared" si="10"/>
        <v>1057912.3600000001</v>
      </c>
      <c r="L38" s="125">
        <f t="shared" si="10"/>
        <v>1693507.3900000001</v>
      </c>
      <c r="M38" s="125">
        <f t="shared" si="10"/>
        <v>1327798.1600000001</v>
      </c>
      <c r="N38" s="125">
        <f t="shared" si="10"/>
        <v>3951538.3400000008</v>
      </c>
      <c r="O38" s="125">
        <f t="shared" si="10"/>
        <v>3316215.37</v>
      </c>
      <c r="P38" s="125">
        <f t="shared" si="10"/>
        <v>1079109.9300000002</v>
      </c>
      <c r="Q38" s="125">
        <f t="shared" si="10"/>
        <v>436398.04</v>
      </c>
      <c r="R38" s="125">
        <f t="shared" si="10"/>
        <v>7968758.4400000004</v>
      </c>
      <c r="S38" s="125">
        <f t="shared" si="10"/>
        <v>6138323.9299999997</v>
      </c>
      <c r="T38" s="121"/>
      <c r="U38" s="121"/>
      <c r="V38" s="121"/>
    </row>
    <row r="39" spans="2:22" s="5" customFormat="1" ht="69" hidden="1" customHeight="1" x14ac:dyDescent="0.25">
      <c r="B39" s="11" t="s">
        <v>22</v>
      </c>
      <c r="C39" s="25" t="s">
        <v>193</v>
      </c>
      <c r="D39" s="12">
        <v>0</v>
      </c>
      <c r="E39" s="12">
        <v>0</v>
      </c>
      <c r="F39" s="11">
        <v>0</v>
      </c>
      <c r="G39" s="11">
        <v>0</v>
      </c>
      <c r="H39" s="126">
        <f>SUM(H40)</f>
        <v>0</v>
      </c>
      <c r="I39" s="126">
        <f t="shared" ref="I39:S39" si="11">SUM(I40)</f>
        <v>0</v>
      </c>
      <c r="J39" s="117">
        <f t="shared" si="11"/>
        <v>1244602.7799999998</v>
      </c>
      <c r="K39" s="117">
        <f t="shared" si="11"/>
        <v>1057912.3600000001</v>
      </c>
      <c r="L39" s="126">
        <f t="shared" si="11"/>
        <v>1202691.3900000001</v>
      </c>
      <c r="M39" s="126">
        <f t="shared" si="11"/>
        <v>1019746.16</v>
      </c>
      <c r="N39" s="117">
        <f t="shared" si="11"/>
        <v>1610182.2700000003</v>
      </c>
      <c r="O39" s="117">
        <f t="shared" si="11"/>
        <v>1326062.3699999999</v>
      </c>
      <c r="P39" s="126">
        <f t="shared" si="11"/>
        <v>1079109.9300000002</v>
      </c>
      <c r="Q39" s="126">
        <f t="shared" si="11"/>
        <v>436398.04</v>
      </c>
      <c r="R39" s="117">
        <f t="shared" si="11"/>
        <v>5136586.37</v>
      </c>
      <c r="S39" s="117">
        <f t="shared" si="11"/>
        <v>3840118.93</v>
      </c>
      <c r="T39" s="121"/>
      <c r="U39" s="121"/>
      <c r="V39" s="121"/>
    </row>
    <row r="40" spans="2:22" s="5" customFormat="1" ht="30" customHeight="1" x14ac:dyDescent="0.25">
      <c r="B40" s="60" t="s">
        <v>194</v>
      </c>
      <c r="C40" s="60" t="s">
        <v>195</v>
      </c>
      <c r="D40" s="60">
        <v>0</v>
      </c>
      <c r="E40" s="60">
        <v>0</v>
      </c>
      <c r="F40" s="60">
        <v>0</v>
      </c>
      <c r="G40" s="60">
        <v>0</v>
      </c>
      <c r="H40" s="60">
        <f t="shared" ref="H40:I40" si="12">SUM(H41:H48)</f>
        <v>0</v>
      </c>
      <c r="I40" s="60">
        <f t="shared" si="12"/>
        <v>0</v>
      </c>
      <c r="J40" s="60">
        <f>SUM(J41:J53)</f>
        <v>1244602.7799999998</v>
      </c>
      <c r="K40" s="60">
        <f t="shared" ref="K40:S40" si="13">SUM(K41:K53)</f>
        <v>1057912.3600000001</v>
      </c>
      <c r="L40" s="60">
        <f t="shared" si="13"/>
        <v>1202691.3900000001</v>
      </c>
      <c r="M40" s="60">
        <f t="shared" si="13"/>
        <v>1019746.16</v>
      </c>
      <c r="N40" s="60">
        <f t="shared" si="13"/>
        <v>1610182.2700000003</v>
      </c>
      <c r="O40" s="60">
        <f t="shared" si="13"/>
        <v>1326062.3699999999</v>
      </c>
      <c r="P40" s="60">
        <f t="shared" si="13"/>
        <v>1079109.9300000002</v>
      </c>
      <c r="Q40" s="60">
        <f t="shared" si="13"/>
        <v>436398.04</v>
      </c>
      <c r="R40" s="60">
        <f t="shared" si="13"/>
        <v>5136586.37</v>
      </c>
      <c r="S40" s="60">
        <f t="shared" si="13"/>
        <v>3840118.93</v>
      </c>
      <c r="T40" s="121"/>
      <c r="U40" s="121"/>
      <c r="V40" s="121"/>
    </row>
    <row r="41" spans="2:22" s="5" customFormat="1" ht="57" hidden="1" customHeight="1" x14ac:dyDescent="0.25">
      <c r="B41" s="88" t="s">
        <v>196</v>
      </c>
      <c r="C41" s="54" t="s">
        <v>197</v>
      </c>
      <c r="D41" s="54">
        <v>0</v>
      </c>
      <c r="E41" s="54">
        <v>0</v>
      </c>
      <c r="F41" s="54">
        <v>0</v>
      </c>
      <c r="G41" s="54">
        <v>0</v>
      </c>
      <c r="H41" s="54">
        <v>0</v>
      </c>
      <c r="I41" s="54">
        <v>0</v>
      </c>
      <c r="J41" s="54">
        <v>0</v>
      </c>
      <c r="K41" s="54">
        <v>0</v>
      </c>
      <c r="L41" s="54">
        <v>0</v>
      </c>
      <c r="M41" s="54">
        <v>0</v>
      </c>
      <c r="N41" s="54">
        <f>'2 lentelė'!L38</f>
        <v>344665.75</v>
      </c>
      <c r="O41" s="54">
        <f>'2 lentelė'!Q38</f>
        <v>292965.89</v>
      </c>
      <c r="P41" s="54">
        <v>0</v>
      </c>
      <c r="Q41" s="54">
        <v>0</v>
      </c>
      <c r="R41" s="54">
        <f>D41+F41+H41+J41+L41+N41+P41</f>
        <v>344665.75</v>
      </c>
      <c r="S41" s="54">
        <f>E41+G41+I41+K41+M41+O41+Q41</f>
        <v>292965.89</v>
      </c>
      <c r="T41" s="121"/>
      <c r="U41" s="121"/>
      <c r="V41" s="121"/>
    </row>
    <row r="42" spans="2:22" s="5" customFormat="1" ht="41.25" hidden="1" customHeight="1" x14ac:dyDescent="0.25">
      <c r="B42" s="88" t="s">
        <v>198</v>
      </c>
      <c r="C42" s="54" t="s">
        <v>199</v>
      </c>
      <c r="D42" s="54">
        <v>0</v>
      </c>
      <c r="E42" s="54">
        <v>0</v>
      </c>
      <c r="F42" s="54">
        <v>0</v>
      </c>
      <c r="G42" s="54">
        <v>0</v>
      </c>
      <c r="H42" s="54">
        <v>0</v>
      </c>
      <c r="I42" s="54">
        <v>0</v>
      </c>
      <c r="J42" s="54">
        <v>0</v>
      </c>
      <c r="K42" s="54">
        <v>0</v>
      </c>
      <c r="L42" s="54">
        <v>0</v>
      </c>
      <c r="M42" s="54">
        <v>0</v>
      </c>
      <c r="N42" s="54">
        <f>'2 lentelė'!L39</f>
        <v>200108.91</v>
      </c>
      <c r="O42" s="54">
        <f>'2 lentelė'!Q39</f>
        <v>127500</v>
      </c>
      <c r="P42" s="54">
        <v>0</v>
      </c>
      <c r="Q42" s="54">
        <v>0</v>
      </c>
      <c r="R42" s="54">
        <f t="shared" ref="R42:S48" si="14">D42+F42+H42+J42+L42+N42+P42</f>
        <v>200108.91</v>
      </c>
      <c r="S42" s="54">
        <f t="shared" si="14"/>
        <v>127500</v>
      </c>
      <c r="T42" s="121"/>
      <c r="U42" s="121"/>
      <c r="V42" s="121"/>
    </row>
    <row r="43" spans="2:22" s="5" customFormat="1" ht="116.25" hidden="1" customHeight="1" x14ac:dyDescent="0.25">
      <c r="B43" s="88" t="s">
        <v>200</v>
      </c>
      <c r="C43" s="54" t="s">
        <v>201</v>
      </c>
      <c r="D43" s="54">
        <v>0</v>
      </c>
      <c r="E43" s="54">
        <v>0</v>
      </c>
      <c r="F43" s="54">
        <v>0</v>
      </c>
      <c r="G43" s="54">
        <v>0</v>
      </c>
      <c r="H43" s="54">
        <v>0</v>
      </c>
      <c r="I43" s="54">
        <v>0</v>
      </c>
      <c r="J43" s="54">
        <f>'2 lentelė'!L40</f>
        <v>615073.18999999994</v>
      </c>
      <c r="K43" s="54">
        <f>'2 lentelė'!Q40</f>
        <v>522812.21</v>
      </c>
      <c r="L43" s="54">
        <v>0</v>
      </c>
      <c r="M43" s="54">
        <v>0</v>
      </c>
      <c r="N43" s="54">
        <v>0</v>
      </c>
      <c r="O43" s="54">
        <v>0</v>
      </c>
      <c r="P43" s="54">
        <v>0</v>
      </c>
      <c r="Q43" s="54">
        <v>0</v>
      </c>
      <c r="R43" s="54">
        <f t="shared" si="14"/>
        <v>615073.18999999994</v>
      </c>
      <c r="S43" s="54">
        <f t="shared" si="14"/>
        <v>522812.21</v>
      </c>
      <c r="T43" s="121"/>
      <c r="U43" s="121"/>
      <c r="V43" s="121"/>
    </row>
    <row r="44" spans="2:22" s="5" customFormat="1" ht="69" hidden="1" customHeight="1" x14ac:dyDescent="0.25">
      <c r="B44" s="88" t="s">
        <v>202</v>
      </c>
      <c r="C44" s="54" t="s">
        <v>203</v>
      </c>
      <c r="D44" s="54">
        <v>0</v>
      </c>
      <c r="E44" s="54">
        <v>0</v>
      </c>
      <c r="F44" s="54">
        <v>0</v>
      </c>
      <c r="G44" s="54">
        <v>0</v>
      </c>
      <c r="H44" s="54">
        <v>0</v>
      </c>
      <c r="I44" s="54">
        <v>0</v>
      </c>
      <c r="J44" s="54">
        <f>'2 lentelė'!L41</f>
        <v>629529.59</v>
      </c>
      <c r="K44" s="54">
        <f>'2 lentelė'!Q41</f>
        <v>535100.15</v>
      </c>
      <c r="L44" s="54">
        <v>0</v>
      </c>
      <c r="M44" s="54">
        <v>0</v>
      </c>
      <c r="N44" s="54">
        <v>0</v>
      </c>
      <c r="O44" s="54">
        <v>0</v>
      </c>
      <c r="P44" s="54">
        <v>0</v>
      </c>
      <c r="Q44" s="54">
        <v>0</v>
      </c>
      <c r="R44" s="54">
        <f t="shared" si="14"/>
        <v>629529.59</v>
      </c>
      <c r="S44" s="54">
        <f t="shared" si="14"/>
        <v>535100.15</v>
      </c>
      <c r="T44" s="121"/>
      <c r="U44" s="121"/>
      <c r="V44" s="121"/>
    </row>
    <row r="45" spans="2:22" s="5" customFormat="1" ht="45.75" hidden="1" customHeight="1" x14ac:dyDescent="0.25">
      <c r="B45" s="88" t="s">
        <v>204</v>
      </c>
      <c r="C45" s="54" t="s">
        <v>205</v>
      </c>
      <c r="D45" s="54">
        <v>0</v>
      </c>
      <c r="E45" s="54">
        <v>0</v>
      </c>
      <c r="F45" s="54">
        <v>0</v>
      </c>
      <c r="G45" s="54">
        <v>0</v>
      </c>
      <c r="H45" s="54">
        <v>0</v>
      </c>
      <c r="I45" s="54">
        <v>0</v>
      </c>
      <c r="J45" s="54">
        <v>0</v>
      </c>
      <c r="K45" s="54">
        <v>0</v>
      </c>
      <c r="L45" s="54">
        <f>'2 lentelė'!L42</f>
        <v>428573.83</v>
      </c>
      <c r="M45" s="54">
        <f>'2 lentelė'!Q42</f>
        <v>361746.23</v>
      </c>
      <c r="N45" s="54">
        <v>0</v>
      </c>
      <c r="O45" s="54">
        <v>0</v>
      </c>
      <c r="P45" s="54">
        <v>0</v>
      </c>
      <c r="Q45" s="54">
        <v>0</v>
      </c>
      <c r="R45" s="54">
        <f t="shared" si="14"/>
        <v>428573.83</v>
      </c>
      <c r="S45" s="54">
        <f t="shared" si="14"/>
        <v>361746.23</v>
      </c>
      <c r="T45" s="121"/>
      <c r="U45" s="121"/>
      <c r="V45" s="121"/>
    </row>
    <row r="46" spans="2:22" s="5" customFormat="1" ht="78" hidden="1" customHeight="1" x14ac:dyDescent="0.25">
      <c r="B46" s="88" t="s">
        <v>206</v>
      </c>
      <c r="C46" s="54" t="s">
        <v>207</v>
      </c>
      <c r="D46" s="54">
        <v>0</v>
      </c>
      <c r="E46" s="54">
        <v>0</v>
      </c>
      <c r="F46" s="54">
        <v>0</v>
      </c>
      <c r="G46" s="54">
        <v>0</v>
      </c>
      <c r="H46" s="54">
        <v>0</v>
      </c>
      <c r="I46" s="54">
        <v>0</v>
      </c>
      <c r="J46" s="54">
        <v>0</v>
      </c>
      <c r="K46" s="54">
        <v>0</v>
      </c>
      <c r="L46" s="54">
        <v>0</v>
      </c>
      <c r="M46" s="54">
        <v>0</v>
      </c>
      <c r="N46" s="54">
        <f>'2 lentelė'!L43</f>
        <v>381140.11</v>
      </c>
      <c r="O46" s="54">
        <f>'2 lentelė'!Q43</f>
        <v>323969.08999999997</v>
      </c>
      <c r="P46" s="54">
        <v>0</v>
      </c>
      <c r="Q46" s="54">
        <v>0</v>
      </c>
      <c r="R46" s="54">
        <f>D46+F46+H46+J46+L46+N46+P46</f>
        <v>381140.11</v>
      </c>
      <c r="S46" s="54">
        <f>E46+G46+I46+K46+M46+O46+Q46</f>
        <v>323969.08999999997</v>
      </c>
      <c r="T46" s="121"/>
      <c r="U46" s="121"/>
      <c r="V46" s="121"/>
    </row>
    <row r="47" spans="2:22" s="5" customFormat="1" ht="49.5" hidden="1" customHeight="1" x14ac:dyDescent="0.25">
      <c r="B47" s="88" t="s">
        <v>208</v>
      </c>
      <c r="C47" s="54" t="s">
        <v>209</v>
      </c>
      <c r="D47" s="54">
        <v>0</v>
      </c>
      <c r="E47" s="54">
        <v>0</v>
      </c>
      <c r="F47" s="54">
        <v>0</v>
      </c>
      <c r="G47" s="54">
        <v>0</v>
      </c>
      <c r="H47" s="54">
        <v>0</v>
      </c>
      <c r="I47" s="54">
        <v>0</v>
      </c>
      <c r="J47" s="54">
        <v>0</v>
      </c>
      <c r="K47" s="54">
        <v>0</v>
      </c>
      <c r="L47" s="54">
        <f>'2 lentelė'!L44</f>
        <v>774117.56</v>
      </c>
      <c r="M47" s="54">
        <f>'2 lentelė'!Q44</f>
        <v>657999.93000000005</v>
      </c>
      <c r="N47" s="54">
        <v>0</v>
      </c>
      <c r="O47" s="54">
        <v>0</v>
      </c>
      <c r="P47" s="54">
        <v>0</v>
      </c>
      <c r="Q47" s="54">
        <v>0</v>
      </c>
      <c r="R47" s="54">
        <f>D47+F47+H47+J47+L47+N47+P47</f>
        <v>774117.56</v>
      </c>
      <c r="S47" s="54">
        <f>E47+G47+I47+K47+M47+O47+Q47</f>
        <v>657999.93000000005</v>
      </c>
      <c r="T47" s="121"/>
      <c r="U47" s="121"/>
      <c r="V47" s="121"/>
    </row>
    <row r="48" spans="2:22" s="5" customFormat="1" ht="90" hidden="1" customHeight="1" x14ac:dyDescent="0.25">
      <c r="B48" s="88" t="s">
        <v>210</v>
      </c>
      <c r="C48" s="54" t="s">
        <v>211</v>
      </c>
      <c r="D48" s="54">
        <v>0</v>
      </c>
      <c r="E48" s="54">
        <v>0</v>
      </c>
      <c r="F48" s="54">
        <v>0</v>
      </c>
      <c r="G48" s="54">
        <v>0</v>
      </c>
      <c r="H48" s="54">
        <v>0</v>
      </c>
      <c r="I48" s="54">
        <v>0</v>
      </c>
      <c r="J48" s="54">
        <v>0</v>
      </c>
      <c r="K48" s="54">
        <v>0</v>
      </c>
      <c r="L48" s="54">
        <v>0</v>
      </c>
      <c r="M48" s="54">
        <v>0</v>
      </c>
      <c r="N48" s="62">
        <f>'2 lentelė'!L45</f>
        <v>102422.63</v>
      </c>
      <c r="O48" s="54">
        <f>'2 lentelė'!Q45</f>
        <v>87059.24</v>
      </c>
      <c r="P48" s="54">
        <v>0</v>
      </c>
      <c r="Q48" s="54">
        <v>0</v>
      </c>
      <c r="R48" s="54">
        <f t="shared" si="14"/>
        <v>102422.63</v>
      </c>
      <c r="S48" s="54">
        <f t="shared" si="14"/>
        <v>87059.24</v>
      </c>
      <c r="T48" s="121"/>
      <c r="U48" s="121"/>
      <c r="V48" s="121"/>
    </row>
    <row r="49" spans="2:22" s="5" customFormat="1" ht="72.75" hidden="1" customHeight="1" x14ac:dyDescent="0.25">
      <c r="B49" s="54" t="s">
        <v>1033</v>
      </c>
      <c r="C49" s="59" t="s">
        <v>1040</v>
      </c>
      <c r="D49" s="54">
        <v>0</v>
      </c>
      <c r="E49" s="54">
        <v>0</v>
      </c>
      <c r="F49" s="54">
        <v>0</v>
      </c>
      <c r="G49" s="54">
        <v>0</v>
      </c>
      <c r="H49" s="54">
        <v>0</v>
      </c>
      <c r="I49" s="54">
        <v>0</v>
      </c>
      <c r="J49" s="54">
        <v>0</v>
      </c>
      <c r="K49" s="54">
        <v>0</v>
      </c>
      <c r="L49" s="54">
        <v>0</v>
      </c>
      <c r="M49" s="54">
        <v>0</v>
      </c>
      <c r="N49" s="54">
        <v>0</v>
      </c>
      <c r="O49" s="54">
        <v>0</v>
      </c>
      <c r="P49" s="54">
        <f>'2 lentelė'!L46</f>
        <v>916743.93</v>
      </c>
      <c r="Q49" s="54">
        <f>'2 lentelė'!Q46</f>
        <v>325512.49</v>
      </c>
      <c r="R49" s="54">
        <f t="shared" ref="R49" si="15">D49+F49+H49+J49+L49+N49+P49</f>
        <v>916743.93</v>
      </c>
      <c r="S49" s="54">
        <f t="shared" ref="S49" si="16">E49+G49+I49+K49+M49+O49+Q49</f>
        <v>325512.49</v>
      </c>
      <c r="T49" s="121"/>
      <c r="U49" s="121"/>
      <c r="V49" s="121"/>
    </row>
    <row r="50" spans="2:22" s="5" customFormat="1" ht="68.25" hidden="1" customHeight="1" x14ac:dyDescent="0.25">
      <c r="B50" s="54" t="s">
        <v>1034</v>
      </c>
      <c r="C50" s="46" t="s">
        <v>1038</v>
      </c>
      <c r="D50" s="54">
        <v>0</v>
      </c>
      <c r="E50" s="54">
        <v>0</v>
      </c>
      <c r="F50" s="54">
        <v>0</v>
      </c>
      <c r="G50" s="54">
        <v>0</v>
      </c>
      <c r="H50" s="54">
        <v>0</v>
      </c>
      <c r="I50" s="54">
        <v>0</v>
      </c>
      <c r="J50" s="54">
        <v>0</v>
      </c>
      <c r="K50" s="54">
        <v>0</v>
      </c>
      <c r="L50" s="54">
        <v>0</v>
      </c>
      <c r="M50" s="54">
        <v>0</v>
      </c>
      <c r="N50" s="54">
        <f>'2 lentelė'!L47</f>
        <v>181733.94</v>
      </c>
      <c r="O50" s="54">
        <f>'2 lentelė'!Q47</f>
        <v>154473.85</v>
      </c>
      <c r="P50" s="54">
        <v>0</v>
      </c>
      <c r="Q50" s="54">
        <v>0</v>
      </c>
      <c r="R50" s="54">
        <f t="shared" ref="R50" si="17">D50+F50+H50+J50+L50+N50+P50</f>
        <v>181733.94</v>
      </c>
      <c r="S50" s="54">
        <f t="shared" ref="S50" si="18">E50+G50+I50+K50+M50+O50+Q50</f>
        <v>154473.85</v>
      </c>
      <c r="T50" s="121"/>
      <c r="U50" s="121"/>
      <c r="V50" s="121"/>
    </row>
    <row r="51" spans="2:22" s="5" customFormat="1" ht="68.25" hidden="1" customHeight="1" x14ac:dyDescent="0.25">
      <c r="B51" s="54" t="s">
        <v>1035</v>
      </c>
      <c r="C51" s="46" t="s">
        <v>1039</v>
      </c>
      <c r="D51" s="54">
        <v>0</v>
      </c>
      <c r="E51" s="54">
        <v>0</v>
      </c>
      <c r="F51" s="54">
        <v>0</v>
      </c>
      <c r="G51" s="54">
        <v>0</v>
      </c>
      <c r="H51" s="54">
        <v>0</v>
      </c>
      <c r="I51" s="54">
        <v>0</v>
      </c>
      <c r="J51" s="54">
        <v>0</v>
      </c>
      <c r="K51" s="54">
        <v>0</v>
      </c>
      <c r="L51" s="54">
        <v>0</v>
      </c>
      <c r="M51" s="54">
        <v>0</v>
      </c>
      <c r="N51" s="54">
        <f>'2 lentelė'!L48</f>
        <v>225600.35</v>
      </c>
      <c r="O51" s="54">
        <f>'2 lentelė'!Q48</f>
        <v>191760.3</v>
      </c>
      <c r="P51" s="54">
        <v>0</v>
      </c>
      <c r="Q51" s="54">
        <v>0</v>
      </c>
      <c r="R51" s="54">
        <f t="shared" ref="R51" si="19">D51+F51+H51+J51+L51+N51+P51</f>
        <v>225600.35</v>
      </c>
      <c r="S51" s="54">
        <f t="shared" ref="S51" si="20">E51+G51+I51+K51+M51+O51+Q51</f>
        <v>191760.3</v>
      </c>
      <c r="T51" s="121"/>
      <c r="U51" s="121"/>
      <c r="V51" s="121"/>
    </row>
    <row r="52" spans="2:22" s="5" customFormat="1" ht="68.25" hidden="1" customHeight="1" x14ac:dyDescent="0.25">
      <c r="B52" s="54" t="s">
        <v>1036</v>
      </c>
      <c r="C52" s="46" t="s">
        <v>1044</v>
      </c>
      <c r="D52" s="54">
        <v>0</v>
      </c>
      <c r="E52" s="54">
        <v>0</v>
      </c>
      <c r="F52" s="54">
        <v>0</v>
      </c>
      <c r="G52" s="54">
        <v>0</v>
      </c>
      <c r="H52" s="54">
        <v>0</v>
      </c>
      <c r="I52" s="54">
        <v>0</v>
      </c>
      <c r="J52" s="54">
        <v>0</v>
      </c>
      <c r="K52" s="54">
        <v>0</v>
      </c>
      <c r="L52" s="54">
        <v>0</v>
      </c>
      <c r="M52" s="54">
        <v>0</v>
      </c>
      <c r="N52" s="54">
        <v>0</v>
      </c>
      <c r="O52" s="54">
        <v>0</v>
      </c>
      <c r="P52" s="62">
        <f>'2 lentelė'!L49</f>
        <v>162366</v>
      </c>
      <c r="Q52" s="54">
        <f>'2 lentelė'!Q49</f>
        <v>110885.55</v>
      </c>
      <c r="R52" s="54">
        <f t="shared" ref="R52" si="21">D52+F52+H52+J52+L52+N52+P52</f>
        <v>162366</v>
      </c>
      <c r="S52" s="54">
        <f t="shared" ref="S52" si="22">E52+G52+I52+K52+M52+O52+Q52</f>
        <v>110885.55</v>
      </c>
      <c r="T52" s="121"/>
      <c r="U52" s="121"/>
      <c r="V52" s="121"/>
    </row>
    <row r="53" spans="2:22" s="5" customFormat="1" ht="55.5" hidden="1" customHeight="1" x14ac:dyDescent="0.25">
      <c r="B53" s="54" t="s">
        <v>1037</v>
      </c>
      <c r="C53" s="59" t="s">
        <v>1048</v>
      </c>
      <c r="D53" s="54">
        <v>0</v>
      </c>
      <c r="E53" s="54">
        <v>0</v>
      </c>
      <c r="F53" s="54">
        <v>0</v>
      </c>
      <c r="G53" s="54">
        <v>0</v>
      </c>
      <c r="H53" s="54">
        <v>0</v>
      </c>
      <c r="I53" s="54">
        <v>0</v>
      </c>
      <c r="J53" s="54">
        <v>0</v>
      </c>
      <c r="K53" s="54">
        <v>0</v>
      </c>
      <c r="L53" s="54">
        <v>0</v>
      </c>
      <c r="M53" s="54">
        <v>0</v>
      </c>
      <c r="N53" s="62">
        <f>'2 lentelė'!L50</f>
        <v>174510.58</v>
      </c>
      <c r="O53" s="62">
        <f>'2 lentelė'!Q50</f>
        <v>148334</v>
      </c>
      <c r="P53" s="54">
        <v>0</v>
      </c>
      <c r="Q53" s="54">
        <v>0</v>
      </c>
      <c r="R53" s="54">
        <f t="shared" ref="R53" si="23">D53+F53+H53+J53+L53+N53+P53</f>
        <v>174510.58</v>
      </c>
      <c r="S53" s="54">
        <f t="shared" ref="S53" si="24">E53+G53+I53+K53+M53+O53+Q53</f>
        <v>148334</v>
      </c>
      <c r="T53" s="121"/>
      <c r="U53" s="121"/>
      <c r="V53" s="121"/>
    </row>
    <row r="54" spans="2:22" ht="76.5" hidden="1" x14ac:dyDescent="0.25">
      <c r="B54" s="117" t="s">
        <v>212</v>
      </c>
      <c r="C54" s="37" t="s">
        <v>213</v>
      </c>
      <c r="D54" s="37">
        <v>0</v>
      </c>
      <c r="E54" s="37">
        <v>0</v>
      </c>
      <c r="F54" s="37">
        <v>0</v>
      </c>
      <c r="G54" s="37">
        <f t="shared" ref="G54:S54" si="25">G55+G60+G63</f>
        <v>0</v>
      </c>
      <c r="H54" s="37">
        <f t="shared" si="25"/>
        <v>0</v>
      </c>
      <c r="I54" s="37">
        <f t="shared" si="25"/>
        <v>0</v>
      </c>
      <c r="J54" s="37">
        <f t="shared" si="25"/>
        <v>0</v>
      </c>
      <c r="K54" s="37">
        <f t="shared" si="25"/>
        <v>0</v>
      </c>
      <c r="L54" s="37">
        <f t="shared" si="25"/>
        <v>490816</v>
      </c>
      <c r="M54" s="37">
        <f t="shared" si="25"/>
        <v>308052</v>
      </c>
      <c r="N54" s="37">
        <f t="shared" si="25"/>
        <v>2341356.0700000003</v>
      </c>
      <c r="O54" s="37">
        <f t="shared" si="25"/>
        <v>1990153</v>
      </c>
      <c r="P54" s="37">
        <f t="shared" si="25"/>
        <v>0</v>
      </c>
      <c r="Q54" s="37">
        <f t="shared" si="25"/>
        <v>0</v>
      </c>
      <c r="R54" s="37">
        <f t="shared" si="25"/>
        <v>2832172.0700000003</v>
      </c>
      <c r="S54" s="37">
        <f t="shared" si="25"/>
        <v>2298205</v>
      </c>
      <c r="T54" s="121"/>
      <c r="U54" s="121"/>
      <c r="V54" s="121">
        <f>3840129-3312985.02</f>
        <v>527143.98</v>
      </c>
    </row>
    <row r="55" spans="2:22" s="5" customFormat="1" ht="38.25" hidden="1" x14ac:dyDescent="0.25">
      <c r="B55" s="60" t="s">
        <v>214</v>
      </c>
      <c r="C55" s="60" t="s">
        <v>215</v>
      </c>
      <c r="D55" s="60">
        <v>0</v>
      </c>
      <c r="E55" s="60">
        <v>0</v>
      </c>
      <c r="F55" s="60">
        <v>0</v>
      </c>
      <c r="G55" s="60">
        <v>0</v>
      </c>
      <c r="H55" s="60">
        <f t="shared" ref="H55:S55" si="26">SUM(H56:H59)</f>
        <v>0</v>
      </c>
      <c r="I55" s="60">
        <f t="shared" si="26"/>
        <v>0</v>
      </c>
      <c r="J55" s="60">
        <f t="shared" si="26"/>
        <v>0</v>
      </c>
      <c r="K55" s="60">
        <f t="shared" si="26"/>
        <v>0</v>
      </c>
      <c r="L55" s="60">
        <f>SUM(L56:L59)</f>
        <v>490816</v>
      </c>
      <c r="M55" s="60">
        <f>SUM(M56:M59)</f>
        <v>308052</v>
      </c>
      <c r="N55" s="60">
        <f t="shared" si="26"/>
        <v>102941.18</v>
      </c>
      <c r="O55" s="60">
        <f t="shared" si="26"/>
        <v>87500</v>
      </c>
      <c r="P55" s="60">
        <f t="shared" si="26"/>
        <v>0</v>
      </c>
      <c r="Q55" s="60">
        <f t="shared" si="26"/>
        <v>0</v>
      </c>
      <c r="R55" s="60">
        <f t="shared" si="26"/>
        <v>593757.17999999993</v>
      </c>
      <c r="S55" s="60">
        <f t="shared" si="26"/>
        <v>395552</v>
      </c>
      <c r="T55" s="121"/>
      <c r="U55" s="121"/>
      <c r="V55" s="121"/>
    </row>
    <row r="56" spans="2:22" s="5" customFormat="1" ht="87" hidden="1" customHeight="1" x14ac:dyDescent="0.25">
      <c r="B56" s="88" t="s">
        <v>216</v>
      </c>
      <c r="C56" s="54" t="s">
        <v>1027</v>
      </c>
      <c r="D56" s="54">
        <v>0</v>
      </c>
      <c r="E56" s="54">
        <v>0</v>
      </c>
      <c r="F56" s="54">
        <v>0</v>
      </c>
      <c r="G56" s="54">
        <v>0</v>
      </c>
      <c r="H56" s="54">
        <v>0</v>
      </c>
      <c r="I56" s="54">
        <v>0</v>
      </c>
      <c r="J56" s="54">
        <v>0</v>
      </c>
      <c r="K56" s="54">
        <v>0</v>
      </c>
      <c r="L56" s="54">
        <v>0</v>
      </c>
      <c r="M56" s="54">
        <v>0</v>
      </c>
      <c r="N56" s="54">
        <f>'2 lentelė'!L53</f>
        <v>102941.18</v>
      </c>
      <c r="O56" s="54">
        <f>'2 lentelė'!Q53</f>
        <v>87500</v>
      </c>
      <c r="P56" s="54">
        <v>0</v>
      </c>
      <c r="Q56" s="54">
        <v>0</v>
      </c>
      <c r="R56" s="54">
        <f>L56+N56+P56</f>
        <v>102941.18</v>
      </c>
      <c r="S56" s="88">
        <f>M56+O56+Q56</f>
        <v>87500</v>
      </c>
      <c r="T56" s="121"/>
      <c r="U56" s="121"/>
      <c r="V56" s="121"/>
    </row>
    <row r="57" spans="2:22" ht="81.75" hidden="1" customHeight="1" x14ac:dyDescent="0.25">
      <c r="B57" s="88" t="s">
        <v>217</v>
      </c>
      <c r="C57" s="54" t="s">
        <v>218</v>
      </c>
      <c r="D57" s="59">
        <v>0</v>
      </c>
      <c r="E57" s="59">
        <v>0</v>
      </c>
      <c r="F57" s="59">
        <v>0</v>
      </c>
      <c r="G57" s="59">
        <v>0</v>
      </c>
      <c r="H57" s="59">
        <v>0</v>
      </c>
      <c r="I57" s="59">
        <v>0</v>
      </c>
      <c r="J57" s="59">
        <v>0</v>
      </c>
      <c r="K57" s="59">
        <v>0</v>
      </c>
      <c r="L57" s="59">
        <f>'2 lentelė'!L54</f>
        <v>322662</v>
      </c>
      <c r="M57" s="59">
        <f>'2 lentelė'!Q54</f>
        <v>165122</v>
      </c>
      <c r="N57" s="59">
        <v>0</v>
      </c>
      <c r="O57" s="59">
        <v>0</v>
      </c>
      <c r="P57" s="59">
        <v>0</v>
      </c>
      <c r="Q57" s="59">
        <v>0</v>
      </c>
      <c r="R57" s="54">
        <f>L57+N57+P57</f>
        <v>322662</v>
      </c>
      <c r="S57" s="88">
        <f>M57+O57+Q57</f>
        <v>165122</v>
      </c>
      <c r="T57" s="121"/>
      <c r="U57" s="121"/>
      <c r="V57" s="121"/>
    </row>
    <row r="58" spans="2:22" ht="66.75" hidden="1" customHeight="1" x14ac:dyDescent="0.25">
      <c r="B58" s="88" t="s">
        <v>219</v>
      </c>
      <c r="C58" s="54" t="s">
        <v>220</v>
      </c>
      <c r="D58" s="59">
        <v>0</v>
      </c>
      <c r="E58" s="59">
        <v>0</v>
      </c>
      <c r="F58" s="59">
        <v>0</v>
      </c>
      <c r="G58" s="58">
        <v>0</v>
      </c>
      <c r="H58" s="58">
        <v>0</v>
      </c>
      <c r="I58" s="58">
        <v>0</v>
      </c>
      <c r="J58" s="58">
        <v>0</v>
      </c>
      <c r="K58" s="58">
        <v>0</v>
      </c>
      <c r="L58" s="58">
        <f>'2 lentelė'!L55</f>
        <v>84289</v>
      </c>
      <c r="M58" s="58">
        <f>'2 lentelė'!Q55</f>
        <v>71645</v>
      </c>
      <c r="N58" s="58">
        <v>0</v>
      </c>
      <c r="O58" s="58">
        <v>0</v>
      </c>
      <c r="P58" s="58">
        <v>0</v>
      </c>
      <c r="Q58" s="58">
        <v>0</v>
      </c>
      <c r="R58" s="54">
        <f t="shared" ref="R58:R59" si="27">L58+N58+P58</f>
        <v>84289</v>
      </c>
      <c r="S58" s="88">
        <f t="shared" ref="S58:S59" si="28">M58+O58+Q58</f>
        <v>71645</v>
      </c>
      <c r="T58" s="121"/>
      <c r="U58" s="121"/>
      <c r="V58" s="121"/>
    </row>
    <row r="59" spans="2:22" ht="59.25" hidden="1" customHeight="1" x14ac:dyDescent="0.25">
      <c r="B59" s="88" t="s">
        <v>221</v>
      </c>
      <c r="C59" s="54" t="s">
        <v>222</v>
      </c>
      <c r="D59" s="59">
        <v>0</v>
      </c>
      <c r="E59" s="59">
        <v>0</v>
      </c>
      <c r="F59" s="59">
        <v>0</v>
      </c>
      <c r="G59" s="58">
        <v>0</v>
      </c>
      <c r="H59" s="58">
        <v>0</v>
      </c>
      <c r="I59" s="58">
        <v>0</v>
      </c>
      <c r="J59" s="58">
        <v>0</v>
      </c>
      <c r="K59" s="58">
        <v>0</v>
      </c>
      <c r="L59" s="58">
        <f>'2 lentelė'!L56</f>
        <v>83865</v>
      </c>
      <c r="M59" s="58">
        <f>'2 lentelė'!Q56</f>
        <v>71285</v>
      </c>
      <c r="N59" s="58">
        <v>0</v>
      </c>
      <c r="O59" s="58">
        <v>0</v>
      </c>
      <c r="P59" s="58">
        <v>0</v>
      </c>
      <c r="Q59" s="58">
        <v>0</v>
      </c>
      <c r="R59" s="54">
        <f t="shared" si="27"/>
        <v>83865</v>
      </c>
      <c r="S59" s="88">
        <f t="shared" si="28"/>
        <v>71285</v>
      </c>
      <c r="T59" s="121"/>
      <c r="U59" s="121"/>
      <c r="V59" s="121"/>
    </row>
    <row r="60" spans="2:22" ht="38.25" hidden="1" x14ac:dyDescent="0.25">
      <c r="B60" s="60" t="s">
        <v>223</v>
      </c>
      <c r="C60" s="60" t="s">
        <v>224</v>
      </c>
      <c r="D60" s="60">
        <f>SUM(D61:D62)</f>
        <v>0</v>
      </c>
      <c r="E60" s="60">
        <f t="shared" ref="E60:S60" si="29">SUM(E61:E62)</f>
        <v>0</v>
      </c>
      <c r="F60" s="60">
        <f t="shared" si="29"/>
        <v>0</v>
      </c>
      <c r="G60" s="60">
        <f t="shared" si="29"/>
        <v>0</v>
      </c>
      <c r="H60" s="60">
        <f t="shared" si="29"/>
        <v>0</v>
      </c>
      <c r="I60" s="60">
        <f t="shared" si="29"/>
        <v>0</v>
      </c>
      <c r="J60" s="60">
        <f t="shared" si="29"/>
        <v>0</v>
      </c>
      <c r="K60" s="60">
        <f t="shared" si="29"/>
        <v>0</v>
      </c>
      <c r="L60" s="60">
        <f t="shared" si="29"/>
        <v>0</v>
      </c>
      <c r="M60" s="60">
        <f t="shared" si="29"/>
        <v>0</v>
      </c>
      <c r="N60" s="60">
        <f t="shared" si="29"/>
        <v>1424514.8900000001</v>
      </c>
      <c r="O60" s="60">
        <f t="shared" si="29"/>
        <v>1210838</v>
      </c>
      <c r="P60" s="60">
        <f t="shared" si="29"/>
        <v>0</v>
      </c>
      <c r="Q60" s="60">
        <f t="shared" si="29"/>
        <v>0</v>
      </c>
      <c r="R60" s="60">
        <f t="shared" si="29"/>
        <v>1424514.8900000001</v>
      </c>
      <c r="S60" s="60">
        <f t="shared" si="29"/>
        <v>1210838</v>
      </c>
      <c r="T60" s="121">
        <v>1210838</v>
      </c>
      <c r="U60" s="121">
        <f>T60-S60</f>
        <v>0</v>
      </c>
      <c r="V60" s="121"/>
    </row>
    <row r="61" spans="2:22" s="5" customFormat="1" ht="51" hidden="1" x14ac:dyDescent="0.25">
      <c r="B61" s="88" t="s">
        <v>227</v>
      </c>
      <c r="C61" s="54" t="s">
        <v>228</v>
      </c>
      <c r="D61" s="59">
        <v>0</v>
      </c>
      <c r="E61" s="59">
        <v>0</v>
      </c>
      <c r="F61" s="59">
        <v>0</v>
      </c>
      <c r="G61" s="58">
        <v>0</v>
      </c>
      <c r="H61" s="58">
        <v>0</v>
      </c>
      <c r="I61" s="58">
        <v>0</v>
      </c>
      <c r="J61" s="58">
        <v>0</v>
      </c>
      <c r="K61" s="58">
        <v>0</v>
      </c>
      <c r="L61" s="58">
        <v>0</v>
      </c>
      <c r="M61" s="58">
        <v>0</v>
      </c>
      <c r="N61" s="58">
        <f>'2 lentelė'!L60</f>
        <v>859809</v>
      </c>
      <c r="O61" s="58">
        <f>'2 lentelė'!Q60</f>
        <v>730838</v>
      </c>
      <c r="P61" s="58">
        <v>0</v>
      </c>
      <c r="Q61" s="58">
        <v>0</v>
      </c>
      <c r="R61" s="58">
        <f t="shared" ref="R61:S62" si="30">D61+F61+H61+J61+L61+N61+P61</f>
        <v>859809</v>
      </c>
      <c r="S61" s="58">
        <f t="shared" si="30"/>
        <v>730838</v>
      </c>
      <c r="T61" s="121"/>
      <c r="U61" s="121"/>
      <c r="V61" s="121"/>
    </row>
    <row r="62" spans="2:22" s="5" customFormat="1" ht="38.25" hidden="1" x14ac:dyDescent="0.25">
      <c r="B62" s="88" t="s">
        <v>1019</v>
      </c>
      <c r="C62" s="54" t="s">
        <v>1024</v>
      </c>
      <c r="D62" s="59">
        <v>0</v>
      </c>
      <c r="E62" s="59">
        <v>0</v>
      </c>
      <c r="F62" s="59">
        <v>0</v>
      </c>
      <c r="G62" s="58">
        <v>0</v>
      </c>
      <c r="H62" s="58">
        <v>0</v>
      </c>
      <c r="I62" s="58">
        <v>0</v>
      </c>
      <c r="J62" s="58">
        <v>0</v>
      </c>
      <c r="K62" s="58">
        <v>0</v>
      </c>
      <c r="L62" s="58">
        <v>0</v>
      </c>
      <c r="M62" s="58">
        <v>0</v>
      </c>
      <c r="N62" s="58">
        <f>'2 lentelė'!L62</f>
        <v>564705.89</v>
      </c>
      <c r="O62" s="58">
        <f>'2 lentelė'!Q62</f>
        <v>480000</v>
      </c>
      <c r="P62" s="58">
        <v>0</v>
      </c>
      <c r="Q62" s="58">
        <v>0</v>
      </c>
      <c r="R62" s="58">
        <f t="shared" si="30"/>
        <v>564705.89</v>
      </c>
      <c r="S62" s="58">
        <f t="shared" si="30"/>
        <v>480000</v>
      </c>
      <c r="T62" s="121"/>
      <c r="U62" s="121"/>
      <c r="V62" s="121"/>
    </row>
    <row r="63" spans="2:22" s="5" customFormat="1" ht="51" hidden="1" x14ac:dyDescent="0.25">
      <c r="B63" s="60" t="s">
        <v>231</v>
      </c>
      <c r="C63" s="60" t="s">
        <v>232</v>
      </c>
      <c r="D63" s="60">
        <f t="shared" ref="D63:S63" si="31">D64+D65+D66</f>
        <v>0</v>
      </c>
      <c r="E63" s="60">
        <f t="shared" si="31"/>
        <v>0</v>
      </c>
      <c r="F63" s="60">
        <f t="shared" si="31"/>
        <v>0</v>
      </c>
      <c r="G63" s="60">
        <f t="shared" si="31"/>
        <v>0</v>
      </c>
      <c r="H63" s="60">
        <f t="shared" si="31"/>
        <v>0</v>
      </c>
      <c r="I63" s="60">
        <f t="shared" si="31"/>
        <v>0</v>
      </c>
      <c r="J63" s="60">
        <f t="shared" si="31"/>
        <v>0</v>
      </c>
      <c r="K63" s="60">
        <f t="shared" si="31"/>
        <v>0</v>
      </c>
      <c r="L63" s="60">
        <f t="shared" si="31"/>
        <v>0</v>
      </c>
      <c r="M63" s="60">
        <f t="shared" si="31"/>
        <v>0</v>
      </c>
      <c r="N63" s="60">
        <f t="shared" si="31"/>
        <v>813900</v>
      </c>
      <c r="O63" s="60">
        <f t="shared" si="31"/>
        <v>691815</v>
      </c>
      <c r="P63" s="60">
        <f t="shared" si="31"/>
        <v>0</v>
      </c>
      <c r="Q63" s="60">
        <f t="shared" si="31"/>
        <v>0</v>
      </c>
      <c r="R63" s="60">
        <f t="shared" si="31"/>
        <v>813900</v>
      </c>
      <c r="S63" s="60">
        <f t="shared" si="31"/>
        <v>691815</v>
      </c>
      <c r="T63" s="121"/>
      <c r="U63" s="121"/>
      <c r="V63" s="121"/>
    </row>
    <row r="64" spans="2:22" s="5" customFormat="1" ht="12.75" hidden="1" customHeight="1" x14ac:dyDescent="0.25">
      <c r="B64" s="88"/>
      <c r="C64" s="54"/>
      <c r="D64" s="59"/>
      <c r="E64" s="59"/>
      <c r="F64" s="59"/>
      <c r="G64" s="58"/>
      <c r="H64" s="58"/>
      <c r="I64" s="58"/>
      <c r="J64" s="58"/>
      <c r="K64" s="58"/>
      <c r="L64" s="58"/>
      <c r="M64" s="58"/>
      <c r="N64" s="58"/>
      <c r="O64" s="58"/>
      <c r="P64" s="58"/>
      <c r="Q64" s="58"/>
      <c r="R64" s="58"/>
      <c r="S64" s="58"/>
      <c r="T64" s="121"/>
      <c r="U64" s="121"/>
      <c r="V64" s="121"/>
    </row>
    <row r="65" spans="2:22" s="5" customFormat="1" ht="16.5" hidden="1" customHeight="1" x14ac:dyDescent="0.25">
      <c r="B65" s="88"/>
      <c r="C65" s="54"/>
      <c r="D65" s="59"/>
      <c r="E65" s="59"/>
      <c r="F65" s="59"/>
      <c r="G65" s="58"/>
      <c r="H65" s="58"/>
      <c r="I65" s="58"/>
      <c r="J65" s="58"/>
      <c r="K65" s="58"/>
      <c r="L65" s="58"/>
      <c r="M65" s="58"/>
      <c r="N65" s="58"/>
      <c r="O65" s="58"/>
      <c r="P65" s="58"/>
      <c r="Q65" s="58"/>
      <c r="R65" s="58"/>
      <c r="S65" s="58"/>
      <c r="T65" s="121"/>
      <c r="U65" s="121"/>
      <c r="V65" s="121"/>
    </row>
    <row r="66" spans="2:22" s="5" customFormat="1" ht="51" hidden="1" x14ac:dyDescent="0.25">
      <c r="B66" s="88" t="s">
        <v>233</v>
      </c>
      <c r="C66" s="54" t="s">
        <v>234</v>
      </c>
      <c r="D66" s="59">
        <v>0</v>
      </c>
      <c r="E66" s="59">
        <v>0</v>
      </c>
      <c r="F66" s="59">
        <v>0</v>
      </c>
      <c r="G66" s="58">
        <v>0</v>
      </c>
      <c r="H66" s="58">
        <v>0</v>
      </c>
      <c r="I66" s="58">
        <v>0</v>
      </c>
      <c r="J66" s="58">
        <v>0</v>
      </c>
      <c r="K66" s="58">
        <v>0</v>
      </c>
      <c r="L66" s="58">
        <v>0</v>
      </c>
      <c r="M66" s="58">
        <v>0</v>
      </c>
      <c r="N66" s="58">
        <f>'2 lentelė'!L65</f>
        <v>813900</v>
      </c>
      <c r="O66" s="58">
        <f>'2 lentelė'!Q65</f>
        <v>691815</v>
      </c>
      <c r="P66" s="58">
        <v>0</v>
      </c>
      <c r="Q66" s="58">
        <v>0</v>
      </c>
      <c r="R66" s="58">
        <f>D66+F66+H66+J66+L66+N66+P66</f>
        <v>813900</v>
      </c>
      <c r="S66" s="58">
        <f>E66+G66+I66+K66+M66+O66+Q66</f>
        <v>691815</v>
      </c>
      <c r="T66" s="121"/>
      <c r="U66" s="121"/>
      <c r="V66" s="121"/>
    </row>
    <row r="67" spans="2:22" s="5" customFormat="1" ht="25.5" hidden="1" x14ac:dyDescent="0.25">
      <c r="B67" s="132" t="s">
        <v>950</v>
      </c>
      <c r="C67" s="81" t="s">
        <v>951</v>
      </c>
      <c r="D67" s="81">
        <f>D68+D79+D115</f>
        <v>0</v>
      </c>
      <c r="E67" s="81">
        <f t="shared" ref="E67:S67" si="32">E68+E79+E115</f>
        <v>0</v>
      </c>
      <c r="F67" s="81">
        <f t="shared" si="32"/>
        <v>0</v>
      </c>
      <c r="G67" s="81">
        <f t="shared" si="32"/>
        <v>0</v>
      </c>
      <c r="H67" s="81">
        <f t="shared" si="32"/>
        <v>10623917.85</v>
      </c>
      <c r="I67" s="81">
        <f t="shared" si="32"/>
        <v>6253737.5700000003</v>
      </c>
      <c r="J67" s="81">
        <f t="shared" si="32"/>
        <v>10021086.380000001</v>
      </c>
      <c r="K67" s="81">
        <f t="shared" si="32"/>
        <v>8212076.8799999999</v>
      </c>
      <c r="L67" s="81">
        <f t="shared" si="32"/>
        <v>2518766.27</v>
      </c>
      <c r="M67" s="81">
        <f t="shared" si="32"/>
        <v>2104110.06</v>
      </c>
      <c r="N67" s="81">
        <f t="shared" si="32"/>
        <v>5168740.3599999994</v>
      </c>
      <c r="O67" s="81">
        <f t="shared" si="32"/>
        <v>3204847.02</v>
      </c>
      <c r="P67" s="81">
        <f t="shared" si="32"/>
        <v>0</v>
      </c>
      <c r="Q67" s="81">
        <f t="shared" si="32"/>
        <v>0</v>
      </c>
      <c r="R67" s="81">
        <f t="shared" si="32"/>
        <v>28332510.859999999</v>
      </c>
      <c r="S67" s="81">
        <f t="shared" si="32"/>
        <v>19774771.530000001</v>
      </c>
      <c r="T67" s="121"/>
      <c r="U67" s="121"/>
      <c r="V67" s="121"/>
    </row>
    <row r="68" spans="2:22" s="5" customFormat="1" ht="57.75" hidden="1" customHeight="1" x14ac:dyDescent="0.25">
      <c r="B68" s="77" t="s">
        <v>235</v>
      </c>
      <c r="C68" s="78" t="s">
        <v>236</v>
      </c>
      <c r="D68" s="77">
        <v>0</v>
      </c>
      <c r="E68" s="78">
        <v>0</v>
      </c>
      <c r="F68" s="77">
        <v>0</v>
      </c>
      <c r="G68" s="78">
        <v>0</v>
      </c>
      <c r="H68" s="77">
        <f t="shared" ref="H68:R68" si="33">H69+H75</f>
        <v>0</v>
      </c>
      <c r="I68" s="78">
        <f t="shared" si="33"/>
        <v>0</v>
      </c>
      <c r="J68" s="77">
        <f t="shared" si="33"/>
        <v>1704482.73</v>
      </c>
      <c r="K68" s="78">
        <f t="shared" si="33"/>
        <v>1434657.88</v>
      </c>
      <c r="L68" s="77">
        <f t="shared" si="33"/>
        <v>0</v>
      </c>
      <c r="M68" s="78">
        <f t="shared" si="33"/>
        <v>0</v>
      </c>
      <c r="N68" s="77">
        <f t="shared" si="33"/>
        <v>341536.27</v>
      </c>
      <c r="O68" s="78">
        <f t="shared" si="33"/>
        <v>290305.83</v>
      </c>
      <c r="P68" s="77">
        <f t="shared" si="33"/>
        <v>0</v>
      </c>
      <c r="Q68" s="78">
        <f t="shared" si="33"/>
        <v>0</v>
      </c>
      <c r="R68" s="77">
        <f t="shared" si="33"/>
        <v>2046019</v>
      </c>
      <c r="S68" s="77">
        <f>S69+S75</f>
        <v>1724963.71</v>
      </c>
      <c r="T68" s="121"/>
      <c r="U68" s="121"/>
      <c r="V68" s="121"/>
    </row>
    <row r="69" spans="2:22" s="5" customFormat="1" ht="38.25" hidden="1" x14ac:dyDescent="0.25">
      <c r="B69" s="117" t="s">
        <v>237</v>
      </c>
      <c r="C69" s="37" t="s">
        <v>238</v>
      </c>
      <c r="D69" s="117">
        <v>0</v>
      </c>
      <c r="E69" s="37">
        <v>0</v>
      </c>
      <c r="F69" s="117">
        <v>0</v>
      </c>
      <c r="G69" s="37">
        <v>0</v>
      </c>
      <c r="H69" s="117">
        <f>SUM(H70)</f>
        <v>0</v>
      </c>
      <c r="I69" s="37">
        <f t="shared" ref="I69:R69" si="34">SUM(I70)</f>
        <v>0</v>
      </c>
      <c r="J69" s="117">
        <f t="shared" si="34"/>
        <v>1405733.45</v>
      </c>
      <c r="K69" s="37">
        <f t="shared" si="34"/>
        <v>1180721</v>
      </c>
      <c r="L69" s="117">
        <f t="shared" si="34"/>
        <v>0</v>
      </c>
      <c r="M69" s="37">
        <f t="shared" si="34"/>
        <v>0</v>
      </c>
      <c r="N69" s="117">
        <f t="shared" si="34"/>
        <v>0</v>
      </c>
      <c r="O69" s="37">
        <f t="shared" si="34"/>
        <v>0</v>
      </c>
      <c r="P69" s="117">
        <f t="shared" si="34"/>
        <v>0</v>
      </c>
      <c r="Q69" s="37">
        <f t="shared" si="34"/>
        <v>0</v>
      </c>
      <c r="R69" s="117">
        <f t="shared" si="34"/>
        <v>1405733.45</v>
      </c>
      <c r="S69" s="117">
        <f>SUM(S70)</f>
        <v>1180721</v>
      </c>
      <c r="T69" s="121"/>
      <c r="U69" s="121"/>
      <c r="V69" s="121"/>
    </row>
    <row r="70" spans="2:22" s="5" customFormat="1" ht="38.25" hidden="1" x14ac:dyDescent="0.25">
      <c r="B70" s="60" t="s">
        <v>239</v>
      </c>
      <c r="C70" s="60" t="s">
        <v>240</v>
      </c>
      <c r="D70" s="60">
        <v>0</v>
      </c>
      <c r="E70" s="60">
        <v>0</v>
      </c>
      <c r="F70" s="60">
        <v>0</v>
      </c>
      <c r="G70" s="60">
        <v>0</v>
      </c>
      <c r="H70" s="60">
        <f>SUM(H72:H74)</f>
        <v>0</v>
      </c>
      <c r="I70" s="60">
        <f>SUM(I72:I74)</f>
        <v>0</v>
      </c>
      <c r="J70" s="60">
        <f>SUM(J71:J74)</f>
        <v>1405733.45</v>
      </c>
      <c r="K70" s="60">
        <f>SUM(K71:K74)</f>
        <v>1180721</v>
      </c>
      <c r="L70" s="60">
        <f t="shared" ref="L70:Q70" si="35">SUM(L71:L74)</f>
        <v>0</v>
      </c>
      <c r="M70" s="60">
        <f t="shared" si="35"/>
        <v>0</v>
      </c>
      <c r="N70" s="60">
        <f t="shared" si="35"/>
        <v>0</v>
      </c>
      <c r="O70" s="60">
        <f t="shared" si="35"/>
        <v>0</v>
      </c>
      <c r="P70" s="60">
        <f t="shared" si="35"/>
        <v>0</v>
      </c>
      <c r="Q70" s="60">
        <f t="shared" si="35"/>
        <v>0</v>
      </c>
      <c r="R70" s="60">
        <f>SUM(R71:R74)</f>
        <v>1405733.45</v>
      </c>
      <c r="S70" s="60">
        <f>SUM(S71:S74)</f>
        <v>1180721</v>
      </c>
      <c r="T70" s="121"/>
      <c r="U70" s="121"/>
      <c r="V70" s="121"/>
    </row>
    <row r="71" spans="2:22" s="5" customFormat="1" ht="76.5" hidden="1" x14ac:dyDescent="0.25">
      <c r="B71" s="88" t="s">
        <v>241</v>
      </c>
      <c r="C71" s="54" t="s">
        <v>242</v>
      </c>
      <c r="D71" s="59">
        <v>0</v>
      </c>
      <c r="E71" s="59">
        <v>0</v>
      </c>
      <c r="F71" s="59">
        <v>0</v>
      </c>
      <c r="G71" s="58">
        <v>0</v>
      </c>
      <c r="H71" s="58">
        <v>0</v>
      </c>
      <c r="I71" s="58">
        <v>0</v>
      </c>
      <c r="J71" s="58">
        <f>'2 lentelė'!L70</f>
        <v>511094</v>
      </c>
      <c r="K71" s="58">
        <f>'2 lentelė'!Q70</f>
        <v>434430</v>
      </c>
      <c r="L71" s="58">
        <v>0</v>
      </c>
      <c r="M71" s="58">
        <v>0</v>
      </c>
      <c r="N71" s="58">
        <v>0</v>
      </c>
      <c r="O71" s="58">
        <v>0</v>
      </c>
      <c r="P71" s="58">
        <v>0</v>
      </c>
      <c r="Q71" s="58">
        <v>0</v>
      </c>
      <c r="R71" s="58">
        <f t="shared" ref="R71:S74" si="36">D71+F71+H71+J71+L71+N71+P71</f>
        <v>511094</v>
      </c>
      <c r="S71" s="58">
        <f t="shared" si="36"/>
        <v>434430</v>
      </c>
      <c r="T71" s="121"/>
      <c r="U71" s="121"/>
      <c r="V71" s="121"/>
    </row>
    <row r="72" spans="2:22" s="5" customFormat="1" ht="64.5" hidden="1" customHeight="1" x14ac:dyDescent="0.25">
      <c r="B72" s="88" t="s">
        <v>243</v>
      </c>
      <c r="C72" s="54" t="s">
        <v>244</v>
      </c>
      <c r="D72" s="59">
        <v>0</v>
      </c>
      <c r="E72" s="59">
        <v>0</v>
      </c>
      <c r="F72" s="59">
        <v>0</v>
      </c>
      <c r="G72" s="58">
        <v>0</v>
      </c>
      <c r="H72" s="58">
        <v>0</v>
      </c>
      <c r="I72" s="58">
        <v>0</v>
      </c>
      <c r="J72" s="58">
        <f>'2 lentelė'!L71</f>
        <v>282956.7</v>
      </c>
      <c r="K72" s="58">
        <f>'2 lentelė'!Q71</f>
        <v>240513.19</v>
      </c>
      <c r="L72" s="58">
        <v>0</v>
      </c>
      <c r="M72" s="58">
        <v>0</v>
      </c>
      <c r="N72" s="58">
        <v>0</v>
      </c>
      <c r="O72" s="58">
        <v>0</v>
      </c>
      <c r="P72" s="58">
        <v>0</v>
      </c>
      <c r="Q72" s="58">
        <v>0</v>
      </c>
      <c r="R72" s="58">
        <f t="shared" si="36"/>
        <v>282956.7</v>
      </c>
      <c r="S72" s="58">
        <f t="shared" si="36"/>
        <v>240513.19</v>
      </c>
      <c r="T72" s="121"/>
      <c r="U72" s="121"/>
      <c r="V72" s="121"/>
    </row>
    <row r="73" spans="2:22" s="5" customFormat="1" ht="127.5" hidden="1" x14ac:dyDescent="0.25">
      <c r="B73" s="88" t="s">
        <v>245</v>
      </c>
      <c r="C73" s="54" t="s">
        <v>246</v>
      </c>
      <c r="D73" s="59">
        <v>0</v>
      </c>
      <c r="E73" s="59">
        <v>0</v>
      </c>
      <c r="F73" s="59">
        <v>0</v>
      </c>
      <c r="G73" s="58">
        <v>0</v>
      </c>
      <c r="H73" s="58">
        <v>0</v>
      </c>
      <c r="I73" s="58">
        <v>0</v>
      </c>
      <c r="J73" s="58">
        <f>'2 lentelė'!L72</f>
        <v>274660</v>
      </c>
      <c r="K73" s="58">
        <f>'2 lentelė'!Q72</f>
        <v>221058</v>
      </c>
      <c r="L73" s="58">
        <v>0</v>
      </c>
      <c r="M73" s="58">
        <v>0</v>
      </c>
      <c r="N73" s="58">
        <v>0</v>
      </c>
      <c r="O73" s="58">
        <v>0</v>
      </c>
      <c r="P73" s="58">
        <v>0</v>
      </c>
      <c r="Q73" s="58">
        <v>0</v>
      </c>
      <c r="R73" s="58">
        <f t="shared" si="36"/>
        <v>274660</v>
      </c>
      <c r="S73" s="58">
        <f t="shared" si="36"/>
        <v>221058</v>
      </c>
      <c r="T73" s="121"/>
      <c r="U73" s="121"/>
      <c r="V73" s="121"/>
    </row>
    <row r="74" spans="2:22" s="5" customFormat="1" ht="51" hidden="1" x14ac:dyDescent="0.25">
      <c r="B74" s="88" t="s">
        <v>247</v>
      </c>
      <c r="C74" s="54" t="s">
        <v>248</v>
      </c>
      <c r="D74" s="59">
        <v>0</v>
      </c>
      <c r="E74" s="59">
        <v>0</v>
      </c>
      <c r="F74" s="59">
        <v>0</v>
      </c>
      <c r="G74" s="58">
        <v>0</v>
      </c>
      <c r="H74" s="58">
        <v>0</v>
      </c>
      <c r="I74" s="58">
        <v>0</v>
      </c>
      <c r="J74" s="58">
        <f>'2 lentelė'!L73</f>
        <v>337022.75</v>
      </c>
      <c r="K74" s="58">
        <f>'2 lentelė'!Q73</f>
        <v>284719.81</v>
      </c>
      <c r="L74" s="58">
        <v>0</v>
      </c>
      <c r="M74" s="58">
        <v>0</v>
      </c>
      <c r="N74" s="58">
        <v>0</v>
      </c>
      <c r="O74" s="58">
        <v>0</v>
      </c>
      <c r="P74" s="58">
        <v>0</v>
      </c>
      <c r="Q74" s="58">
        <v>0</v>
      </c>
      <c r="R74" s="58">
        <f t="shared" si="36"/>
        <v>337022.75</v>
      </c>
      <c r="S74" s="58">
        <f t="shared" si="36"/>
        <v>284719.81</v>
      </c>
      <c r="T74" s="121"/>
      <c r="U74" s="121"/>
      <c r="V74" s="121"/>
    </row>
    <row r="75" spans="2:22" s="5" customFormat="1" ht="48.75" hidden="1" customHeight="1" x14ac:dyDescent="0.25">
      <c r="B75" s="117" t="s">
        <v>249</v>
      </c>
      <c r="C75" s="37" t="s">
        <v>250</v>
      </c>
      <c r="D75" s="117">
        <v>0</v>
      </c>
      <c r="E75" s="37">
        <v>0</v>
      </c>
      <c r="F75" s="117">
        <v>0</v>
      </c>
      <c r="G75" s="37">
        <v>0</v>
      </c>
      <c r="H75" s="117">
        <f>SUM(H76)</f>
        <v>0</v>
      </c>
      <c r="I75" s="37">
        <f t="shared" ref="I75:S75" si="37">SUM(I76)</f>
        <v>0</v>
      </c>
      <c r="J75" s="117">
        <f t="shared" si="37"/>
        <v>298749.28000000003</v>
      </c>
      <c r="K75" s="37">
        <f t="shared" si="37"/>
        <v>253936.88</v>
      </c>
      <c r="L75" s="117">
        <f t="shared" si="37"/>
        <v>0</v>
      </c>
      <c r="M75" s="37">
        <f t="shared" si="37"/>
        <v>0</v>
      </c>
      <c r="N75" s="117">
        <f t="shared" si="37"/>
        <v>341536.27</v>
      </c>
      <c r="O75" s="37">
        <f t="shared" si="37"/>
        <v>290305.83</v>
      </c>
      <c r="P75" s="117">
        <f t="shared" si="37"/>
        <v>0</v>
      </c>
      <c r="Q75" s="37">
        <f t="shared" si="37"/>
        <v>0</v>
      </c>
      <c r="R75" s="117">
        <f t="shared" si="37"/>
        <v>640285.55000000005</v>
      </c>
      <c r="S75" s="117">
        <f t="shared" si="37"/>
        <v>544242.71</v>
      </c>
      <c r="T75" s="121"/>
      <c r="U75" s="121"/>
      <c r="V75" s="121"/>
    </row>
    <row r="76" spans="2:22" s="5" customFormat="1" ht="85.5" hidden="1" customHeight="1" x14ac:dyDescent="0.25">
      <c r="B76" s="60" t="s">
        <v>251</v>
      </c>
      <c r="C76" s="60" t="s">
        <v>252</v>
      </c>
      <c r="D76" s="60">
        <f>D77+D78</f>
        <v>0</v>
      </c>
      <c r="E76" s="60">
        <f t="shared" ref="E76:S76" si="38">E77+E78</f>
        <v>0</v>
      </c>
      <c r="F76" s="60">
        <f t="shared" si="38"/>
        <v>0</v>
      </c>
      <c r="G76" s="60">
        <f t="shared" si="38"/>
        <v>0</v>
      </c>
      <c r="H76" s="60">
        <f t="shared" si="38"/>
        <v>0</v>
      </c>
      <c r="I76" s="60">
        <f t="shared" si="38"/>
        <v>0</v>
      </c>
      <c r="J76" s="60">
        <f t="shared" si="38"/>
        <v>298749.28000000003</v>
      </c>
      <c r="K76" s="60">
        <f t="shared" si="38"/>
        <v>253936.88</v>
      </c>
      <c r="L76" s="60">
        <f t="shared" si="38"/>
        <v>0</v>
      </c>
      <c r="M76" s="60">
        <f t="shared" si="38"/>
        <v>0</v>
      </c>
      <c r="N76" s="60">
        <f t="shared" si="38"/>
        <v>341536.27</v>
      </c>
      <c r="O76" s="60">
        <f t="shared" si="38"/>
        <v>290305.83</v>
      </c>
      <c r="P76" s="60">
        <f t="shared" si="38"/>
        <v>0</v>
      </c>
      <c r="Q76" s="60">
        <f t="shared" si="38"/>
        <v>0</v>
      </c>
      <c r="R76" s="60">
        <f t="shared" si="38"/>
        <v>640285.55000000005</v>
      </c>
      <c r="S76" s="60">
        <f t="shared" si="38"/>
        <v>544242.71</v>
      </c>
      <c r="T76" s="121">
        <v>825953</v>
      </c>
      <c r="U76" s="121">
        <f>T76-S76</f>
        <v>281710.29000000004</v>
      </c>
      <c r="V76" s="121"/>
    </row>
    <row r="77" spans="2:22" s="5" customFormat="1" ht="76.5" hidden="1" x14ac:dyDescent="0.25">
      <c r="B77" s="88" t="s">
        <v>253</v>
      </c>
      <c r="C77" s="54" t="s">
        <v>254</v>
      </c>
      <c r="D77" s="59">
        <v>0</v>
      </c>
      <c r="E77" s="59">
        <v>0</v>
      </c>
      <c r="F77" s="59">
        <v>0</v>
      </c>
      <c r="G77" s="58">
        <v>0</v>
      </c>
      <c r="H77" s="58">
        <v>0</v>
      </c>
      <c r="I77" s="58">
        <v>0</v>
      </c>
      <c r="J77" s="58">
        <f>'2 lentelė'!L76</f>
        <v>298749.28000000003</v>
      </c>
      <c r="K77" s="58">
        <f>'2 lentelė'!Q76</f>
        <v>253936.88</v>
      </c>
      <c r="L77" s="58">
        <v>0</v>
      </c>
      <c r="M77" s="58">
        <v>0</v>
      </c>
      <c r="N77" s="58">
        <v>0</v>
      </c>
      <c r="O77" s="58">
        <v>0</v>
      </c>
      <c r="P77" s="58">
        <v>0</v>
      </c>
      <c r="Q77" s="58">
        <v>0</v>
      </c>
      <c r="R77" s="58">
        <f>D77+F77+H77+J77+L77+N77+P77</f>
        <v>298749.28000000003</v>
      </c>
      <c r="S77" s="58">
        <f>E77+G77+I77+K77+M77+O77+Q77</f>
        <v>253936.88</v>
      </c>
      <c r="T77" s="121"/>
      <c r="U77" s="121"/>
      <c r="V77" s="121"/>
    </row>
    <row r="78" spans="2:22" s="5" customFormat="1" ht="51" hidden="1" x14ac:dyDescent="0.25">
      <c r="B78" s="88" t="s">
        <v>1016</v>
      </c>
      <c r="C78" s="54" t="s">
        <v>1014</v>
      </c>
      <c r="D78" s="59">
        <v>0</v>
      </c>
      <c r="E78" s="59">
        <v>0</v>
      </c>
      <c r="F78" s="59">
        <v>0</v>
      </c>
      <c r="G78" s="58">
        <v>0</v>
      </c>
      <c r="H78" s="58">
        <v>0</v>
      </c>
      <c r="I78" s="58">
        <v>0</v>
      </c>
      <c r="J78" s="58">
        <v>0</v>
      </c>
      <c r="K78" s="58">
        <v>0</v>
      </c>
      <c r="L78" s="58">
        <v>0</v>
      </c>
      <c r="M78" s="58">
        <v>0</v>
      </c>
      <c r="N78" s="58">
        <f>'2 lentelė'!L77</f>
        <v>341536.27</v>
      </c>
      <c r="O78" s="58">
        <f>'2 lentelė'!Q77</f>
        <v>290305.83</v>
      </c>
      <c r="P78" s="58">
        <v>0</v>
      </c>
      <c r="Q78" s="58">
        <v>0</v>
      </c>
      <c r="R78" s="58">
        <f>D78+F78+H78+J78+L78+N78+P78</f>
        <v>341536.27</v>
      </c>
      <c r="S78" s="58">
        <f>E78+G78+I78+K78+M78+O78+Q78</f>
        <v>290305.83</v>
      </c>
      <c r="T78" s="121"/>
      <c r="U78" s="121"/>
      <c r="V78" s="121"/>
    </row>
    <row r="79" spans="2:22" s="5" customFormat="1" ht="37.5" hidden="1" customHeight="1" x14ac:dyDescent="0.25">
      <c r="B79" s="77" t="s">
        <v>255</v>
      </c>
      <c r="C79" s="78" t="s">
        <v>256</v>
      </c>
      <c r="D79" s="77">
        <v>0</v>
      </c>
      <c r="E79" s="78">
        <v>0</v>
      </c>
      <c r="F79" s="77">
        <v>0</v>
      </c>
      <c r="G79" s="78">
        <f t="shared" ref="G79:S79" si="39">G80+G103</f>
        <v>0</v>
      </c>
      <c r="H79" s="78">
        <f t="shared" si="39"/>
        <v>10623917.85</v>
      </c>
      <c r="I79" s="78">
        <f t="shared" si="39"/>
        <v>6253737.5700000003</v>
      </c>
      <c r="J79" s="78">
        <f t="shared" si="39"/>
        <v>8316603.6500000004</v>
      </c>
      <c r="K79" s="78">
        <f t="shared" si="39"/>
        <v>6777419</v>
      </c>
      <c r="L79" s="78">
        <f t="shared" si="39"/>
        <v>474390.27</v>
      </c>
      <c r="M79" s="78">
        <f t="shared" si="39"/>
        <v>366390.06</v>
      </c>
      <c r="N79" s="78">
        <f t="shared" si="39"/>
        <v>4827204.09</v>
      </c>
      <c r="O79" s="78">
        <f t="shared" si="39"/>
        <v>2914541.19</v>
      </c>
      <c r="P79" s="78">
        <f t="shared" si="39"/>
        <v>0</v>
      </c>
      <c r="Q79" s="78">
        <f t="shared" si="39"/>
        <v>0</v>
      </c>
      <c r="R79" s="78">
        <f t="shared" si="39"/>
        <v>24242115.859999999</v>
      </c>
      <c r="S79" s="78">
        <f t="shared" si="39"/>
        <v>16312087.82</v>
      </c>
      <c r="T79" s="121"/>
      <c r="U79" s="121"/>
      <c r="V79" s="121"/>
    </row>
    <row r="80" spans="2:22" s="5" customFormat="1" ht="78" hidden="1" customHeight="1" x14ac:dyDescent="0.25">
      <c r="B80" s="117" t="s">
        <v>257</v>
      </c>
      <c r="C80" s="37" t="s">
        <v>258</v>
      </c>
      <c r="D80" s="117">
        <v>0</v>
      </c>
      <c r="E80" s="37">
        <v>0</v>
      </c>
      <c r="F80" s="117">
        <v>0</v>
      </c>
      <c r="G80" s="37">
        <f t="shared" ref="G80:S80" si="40">G81+G93+G96</f>
        <v>0</v>
      </c>
      <c r="H80" s="37">
        <f t="shared" si="40"/>
        <v>10385082.379999999</v>
      </c>
      <c r="I80" s="37">
        <f t="shared" si="40"/>
        <v>6050727.4300000006</v>
      </c>
      <c r="J80" s="37">
        <f t="shared" si="40"/>
        <v>6697932.04</v>
      </c>
      <c r="K80" s="37">
        <f t="shared" si="40"/>
        <v>5401548.1600000001</v>
      </c>
      <c r="L80" s="37">
        <f t="shared" si="40"/>
        <v>0</v>
      </c>
      <c r="M80" s="37">
        <f t="shared" si="40"/>
        <v>0</v>
      </c>
      <c r="N80" s="37">
        <f t="shared" si="40"/>
        <v>3628179.37</v>
      </c>
      <c r="O80" s="37">
        <f t="shared" si="40"/>
        <v>1895370.19</v>
      </c>
      <c r="P80" s="37">
        <f t="shared" si="40"/>
        <v>0</v>
      </c>
      <c r="Q80" s="37">
        <f t="shared" si="40"/>
        <v>0</v>
      </c>
      <c r="R80" s="37">
        <f t="shared" si="40"/>
        <v>20711193.789999999</v>
      </c>
      <c r="S80" s="37">
        <f t="shared" si="40"/>
        <v>13347645.779999999</v>
      </c>
      <c r="T80" s="121"/>
      <c r="U80" s="121"/>
      <c r="V80" s="121"/>
    </row>
    <row r="81" spans="2:22" s="5" customFormat="1" ht="76.5" x14ac:dyDescent="0.25">
      <c r="B81" s="60" t="s">
        <v>259</v>
      </c>
      <c r="C81" s="60" t="s">
        <v>260</v>
      </c>
      <c r="D81" s="60">
        <v>0</v>
      </c>
      <c r="E81" s="60">
        <v>0</v>
      </c>
      <c r="F81" s="60">
        <v>0</v>
      </c>
      <c r="G81" s="60">
        <v>0</v>
      </c>
      <c r="H81" s="60">
        <f>SUM(H82:H92)</f>
        <v>10385082.379999999</v>
      </c>
      <c r="I81" s="60">
        <f t="shared" ref="I81:S81" si="41">SUM(I82:I92)</f>
        <v>6050727.4300000006</v>
      </c>
      <c r="J81" s="60">
        <f t="shared" si="41"/>
        <v>1229574.68</v>
      </c>
      <c r="K81" s="60">
        <f t="shared" si="41"/>
        <v>823834.4</v>
      </c>
      <c r="L81" s="60">
        <f t="shared" si="41"/>
        <v>0</v>
      </c>
      <c r="M81" s="60">
        <f t="shared" si="41"/>
        <v>0</v>
      </c>
      <c r="N81" s="60">
        <f t="shared" si="41"/>
        <v>3628179.37</v>
      </c>
      <c r="O81" s="60">
        <f t="shared" si="41"/>
        <v>1895370.19</v>
      </c>
      <c r="P81" s="60">
        <f t="shared" si="41"/>
        <v>0</v>
      </c>
      <c r="Q81" s="60">
        <f t="shared" si="41"/>
        <v>0</v>
      </c>
      <c r="R81" s="60">
        <f t="shared" si="41"/>
        <v>15242836.43</v>
      </c>
      <c r="S81" s="60">
        <f t="shared" si="41"/>
        <v>8769932.0199999996</v>
      </c>
      <c r="T81" s="121"/>
      <c r="U81" s="121"/>
      <c r="V81" s="121"/>
    </row>
    <row r="82" spans="2:22" s="5" customFormat="1" ht="51" hidden="1" x14ac:dyDescent="0.25">
      <c r="B82" s="88" t="s">
        <v>261</v>
      </c>
      <c r="C82" s="54" t="s">
        <v>262</v>
      </c>
      <c r="D82" s="59">
        <v>0</v>
      </c>
      <c r="E82" s="59">
        <v>0</v>
      </c>
      <c r="F82" s="59">
        <v>0</v>
      </c>
      <c r="G82" s="58">
        <v>0</v>
      </c>
      <c r="H82" s="58">
        <f>'2 lentelė'!L81</f>
        <v>1685986.17</v>
      </c>
      <c r="I82" s="58">
        <f>'2 lentelė'!Q81</f>
        <v>789008.78</v>
      </c>
      <c r="J82" s="58">
        <v>0</v>
      </c>
      <c r="K82" s="58">
        <v>0</v>
      </c>
      <c r="L82" s="58">
        <v>0</v>
      </c>
      <c r="M82" s="58">
        <v>0</v>
      </c>
      <c r="N82" s="58">
        <v>0</v>
      </c>
      <c r="O82" s="58">
        <v>0</v>
      </c>
      <c r="P82" s="58">
        <v>0</v>
      </c>
      <c r="Q82" s="58">
        <v>0</v>
      </c>
      <c r="R82" s="58">
        <f t="shared" ref="R82:S87" si="42">D82+F82+H82+J82+L82+N82+P82</f>
        <v>1685986.17</v>
      </c>
      <c r="S82" s="58">
        <f t="shared" si="42"/>
        <v>789008.78</v>
      </c>
      <c r="T82" s="121"/>
      <c r="U82" s="121"/>
      <c r="V82" s="121"/>
    </row>
    <row r="83" spans="2:22" s="5" customFormat="1" ht="63.75" hidden="1" x14ac:dyDescent="0.25">
      <c r="B83" s="88" t="s">
        <v>263</v>
      </c>
      <c r="C83" s="54" t="s">
        <v>264</v>
      </c>
      <c r="D83" s="59">
        <v>0</v>
      </c>
      <c r="E83" s="59">
        <v>0</v>
      </c>
      <c r="F83" s="59">
        <v>0</v>
      </c>
      <c r="G83" s="58">
        <v>0</v>
      </c>
      <c r="H83" s="58">
        <v>0</v>
      </c>
      <c r="I83" s="58">
        <v>0</v>
      </c>
      <c r="J83" s="58">
        <f>'2 lentelė'!L82</f>
        <v>1229574.68</v>
      </c>
      <c r="K83" s="58">
        <f>'2 lentelė'!Q82</f>
        <v>823834.4</v>
      </c>
      <c r="L83" s="58">
        <v>0</v>
      </c>
      <c r="M83" s="58">
        <v>0</v>
      </c>
      <c r="N83" s="58">
        <v>0</v>
      </c>
      <c r="O83" s="58">
        <v>0</v>
      </c>
      <c r="P83" s="58">
        <v>0</v>
      </c>
      <c r="Q83" s="58">
        <v>0</v>
      </c>
      <c r="R83" s="58">
        <f t="shared" si="42"/>
        <v>1229574.68</v>
      </c>
      <c r="S83" s="58">
        <f t="shared" si="42"/>
        <v>823834.4</v>
      </c>
      <c r="T83" s="121"/>
      <c r="U83" s="121"/>
      <c r="V83" s="121"/>
    </row>
    <row r="84" spans="2:22" s="5" customFormat="1" ht="45" hidden="1" customHeight="1" x14ac:dyDescent="0.25">
      <c r="B84" s="88" t="s">
        <v>265</v>
      </c>
      <c r="C84" s="54" t="s">
        <v>266</v>
      </c>
      <c r="D84" s="59">
        <v>0</v>
      </c>
      <c r="E84" s="59">
        <v>0</v>
      </c>
      <c r="F84" s="59">
        <v>0</v>
      </c>
      <c r="G84" s="58">
        <v>0</v>
      </c>
      <c r="H84" s="58">
        <f>'2 lentelė'!L83</f>
        <v>3765060</v>
      </c>
      <c r="I84" s="58">
        <f>'2 lentelė'!Q83</f>
        <v>1717232.99</v>
      </c>
      <c r="J84" s="58">
        <v>0</v>
      </c>
      <c r="K84" s="58">
        <v>0</v>
      </c>
      <c r="L84" s="58">
        <v>0</v>
      </c>
      <c r="M84" s="58">
        <v>0</v>
      </c>
      <c r="N84" s="58">
        <v>0</v>
      </c>
      <c r="O84" s="58">
        <v>0</v>
      </c>
      <c r="P84" s="58">
        <v>0</v>
      </c>
      <c r="Q84" s="58">
        <v>0</v>
      </c>
      <c r="R84" s="58">
        <f t="shared" si="42"/>
        <v>3765060</v>
      </c>
      <c r="S84" s="58">
        <f t="shared" si="42"/>
        <v>1717232.99</v>
      </c>
      <c r="T84" s="121"/>
      <c r="U84" s="121"/>
      <c r="V84" s="121"/>
    </row>
    <row r="85" spans="2:22" s="5" customFormat="1" ht="69" hidden="1" customHeight="1" x14ac:dyDescent="0.25">
      <c r="B85" s="88" t="s">
        <v>267</v>
      </c>
      <c r="C85" s="54" t="s">
        <v>268</v>
      </c>
      <c r="D85" s="59">
        <v>0</v>
      </c>
      <c r="E85" s="59">
        <v>0</v>
      </c>
      <c r="F85" s="59">
        <v>0</v>
      </c>
      <c r="G85" s="58">
        <v>0</v>
      </c>
      <c r="H85" s="58">
        <f>'2 lentelė'!L84</f>
        <v>1695696</v>
      </c>
      <c r="I85" s="58">
        <f>'2 lentelė'!Q84</f>
        <v>1110408</v>
      </c>
      <c r="J85" s="58">
        <v>0</v>
      </c>
      <c r="K85" s="58">
        <v>0</v>
      </c>
      <c r="L85" s="58">
        <v>0</v>
      </c>
      <c r="M85" s="58">
        <v>0</v>
      </c>
      <c r="N85" s="58">
        <v>0</v>
      </c>
      <c r="O85" s="58">
        <v>0</v>
      </c>
      <c r="P85" s="58">
        <v>0</v>
      </c>
      <c r="Q85" s="58">
        <v>0</v>
      </c>
      <c r="R85" s="58">
        <f t="shared" si="42"/>
        <v>1695696</v>
      </c>
      <c r="S85" s="58">
        <f t="shared" si="42"/>
        <v>1110408</v>
      </c>
      <c r="T85" s="121"/>
      <c r="U85" s="121"/>
      <c r="V85" s="121"/>
    </row>
    <row r="86" spans="2:22" s="5" customFormat="1" ht="63.75" hidden="1" x14ac:dyDescent="0.25">
      <c r="B86" s="88" t="s">
        <v>269</v>
      </c>
      <c r="C86" s="54" t="s">
        <v>270</v>
      </c>
      <c r="D86" s="59">
        <v>0</v>
      </c>
      <c r="E86" s="59">
        <v>0</v>
      </c>
      <c r="F86" s="59">
        <v>0</v>
      </c>
      <c r="G86" s="58">
        <v>0</v>
      </c>
      <c r="H86" s="58">
        <f>'2 lentelė'!L85</f>
        <v>1226741.69</v>
      </c>
      <c r="I86" s="58">
        <f>'2 lentelė'!Q85</f>
        <v>824798.84</v>
      </c>
      <c r="J86" s="58">
        <v>0</v>
      </c>
      <c r="K86" s="58">
        <v>0</v>
      </c>
      <c r="L86" s="58">
        <v>0</v>
      </c>
      <c r="M86" s="58">
        <v>0</v>
      </c>
      <c r="N86" s="58">
        <v>0</v>
      </c>
      <c r="O86" s="58">
        <v>0</v>
      </c>
      <c r="P86" s="58">
        <v>0</v>
      </c>
      <c r="Q86" s="58">
        <v>0</v>
      </c>
      <c r="R86" s="58">
        <f t="shared" si="42"/>
        <v>1226741.69</v>
      </c>
      <c r="S86" s="58">
        <f t="shared" si="42"/>
        <v>824798.84</v>
      </c>
      <c r="T86" s="121"/>
      <c r="U86" s="121"/>
      <c r="V86" s="121"/>
    </row>
    <row r="87" spans="2:22" s="5" customFormat="1" ht="69" hidden="1" customHeight="1" x14ac:dyDescent="0.25">
      <c r="B87" s="88" t="s">
        <v>271</v>
      </c>
      <c r="C87" s="54" t="s">
        <v>958</v>
      </c>
      <c r="D87" s="59">
        <v>0</v>
      </c>
      <c r="E87" s="59">
        <v>0</v>
      </c>
      <c r="F87" s="59">
        <v>0</v>
      </c>
      <c r="G87" s="58">
        <v>0</v>
      </c>
      <c r="H87" s="58">
        <f>'2 lentelė'!L86</f>
        <v>2011598.52</v>
      </c>
      <c r="I87" s="61">
        <f>'2 lentelė'!Q86</f>
        <v>1609278.82</v>
      </c>
      <c r="J87" s="58">
        <v>0</v>
      </c>
      <c r="K87" s="58">
        <v>0</v>
      </c>
      <c r="L87" s="58">
        <v>0</v>
      </c>
      <c r="M87" s="58">
        <v>0</v>
      </c>
      <c r="N87" s="58">
        <v>0</v>
      </c>
      <c r="O87" s="58">
        <v>0</v>
      </c>
      <c r="P87" s="58">
        <v>0</v>
      </c>
      <c r="Q87" s="58">
        <v>0</v>
      </c>
      <c r="R87" s="58">
        <f t="shared" si="42"/>
        <v>2011598.52</v>
      </c>
      <c r="S87" s="58">
        <f t="shared" si="42"/>
        <v>1609278.82</v>
      </c>
      <c r="T87" s="121"/>
      <c r="U87" s="121"/>
      <c r="V87" s="121"/>
    </row>
    <row r="88" spans="2:22" s="5" customFormat="1" ht="75.75" hidden="1" customHeight="1" x14ac:dyDescent="0.25">
      <c r="B88" s="54" t="s">
        <v>959</v>
      </c>
      <c r="C88" s="46" t="s">
        <v>961</v>
      </c>
      <c r="D88" s="59">
        <v>0</v>
      </c>
      <c r="E88" s="59">
        <v>0</v>
      </c>
      <c r="F88" s="59">
        <v>0</v>
      </c>
      <c r="G88" s="59">
        <v>0</v>
      </c>
      <c r="H88" s="59">
        <v>0</v>
      </c>
      <c r="I88" s="59">
        <v>0</v>
      </c>
      <c r="J88" s="59">
        <v>0</v>
      </c>
      <c r="K88" s="59">
        <v>0</v>
      </c>
      <c r="L88" s="59">
        <v>0</v>
      </c>
      <c r="M88" s="59">
        <v>0</v>
      </c>
      <c r="N88" s="54">
        <v>338000</v>
      </c>
      <c r="O88" s="58">
        <v>169000</v>
      </c>
      <c r="P88" s="59">
        <v>0</v>
      </c>
      <c r="Q88" s="59">
        <v>0</v>
      </c>
      <c r="R88" s="58">
        <f t="shared" ref="R88:R90" si="43">D88+F88+H88+J88+L88+N88+P88</f>
        <v>338000</v>
      </c>
      <c r="S88" s="58">
        <f t="shared" ref="S88:S90" si="44">E88+G88+I88+K88+M88+O88+Q88</f>
        <v>169000</v>
      </c>
      <c r="T88" s="121"/>
      <c r="U88" s="121"/>
      <c r="V88" s="121"/>
    </row>
    <row r="89" spans="2:22" s="5" customFormat="1" ht="69" hidden="1" customHeight="1" x14ac:dyDescent="0.25">
      <c r="B89" s="54" t="s">
        <v>963</v>
      </c>
      <c r="C89" s="46" t="s">
        <v>965</v>
      </c>
      <c r="D89" s="59">
        <v>0</v>
      </c>
      <c r="E89" s="59">
        <v>0</v>
      </c>
      <c r="F89" s="59">
        <v>0</v>
      </c>
      <c r="G89" s="59">
        <v>0</v>
      </c>
      <c r="H89" s="59">
        <v>0</v>
      </c>
      <c r="I89" s="59">
        <v>0</v>
      </c>
      <c r="J89" s="59">
        <v>0</v>
      </c>
      <c r="K89" s="59">
        <v>0</v>
      </c>
      <c r="L89" s="59">
        <v>0</v>
      </c>
      <c r="M89" s="59">
        <v>0</v>
      </c>
      <c r="N89" s="54">
        <v>718750</v>
      </c>
      <c r="O89" s="58">
        <v>575000</v>
      </c>
      <c r="P89" s="59">
        <v>0</v>
      </c>
      <c r="Q89" s="59">
        <v>0</v>
      </c>
      <c r="R89" s="58">
        <f t="shared" si="43"/>
        <v>718750</v>
      </c>
      <c r="S89" s="58">
        <f t="shared" si="44"/>
        <v>575000</v>
      </c>
      <c r="T89" s="121"/>
      <c r="U89" s="121"/>
      <c r="V89" s="121"/>
    </row>
    <row r="90" spans="2:22" s="5" customFormat="1" ht="78" hidden="1" customHeight="1" x14ac:dyDescent="0.25">
      <c r="B90" s="54" t="s">
        <v>966</v>
      </c>
      <c r="C90" s="46" t="s">
        <v>968</v>
      </c>
      <c r="D90" s="59">
        <v>0</v>
      </c>
      <c r="E90" s="59">
        <v>0</v>
      </c>
      <c r="F90" s="59">
        <v>0</v>
      </c>
      <c r="G90" s="59">
        <v>0</v>
      </c>
      <c r="H90" s="59">
        <v>0</v>
      </c>
      <c r="I90" s="59">
        <v>0</v>
      </c>
      <c r="J90" s="59">
        <v>0</v>
      </c>
      <c r="K90" s="59">
        <v>0</v>
      </c>
      <c r="L90" s="59">
        <v>0</v>
      </c>
      <c r="M90" s="59">
        <v>0</v>
      </c>
      <c r="N90" s="62">
        <f>'2 lentelė'!L89</f>
        <v>1193327.6499999999</v>
      </c>
      <c r="O90" s="58">
        <f>'2 lentelė'!Q89</f>
        <v>462636</v>
      </c>
      <c r="P90" s="59">
        <v>0</v>
      </c>
      <c r="Q90" s="59">
        <v>0</v>
      </c>
      <c r="R90" s="58">
        <f t="shared" si="43"/>
        <v>1193327.6499999999</v>
      </c>
      <c r="S90" s="58">
        <f t="shared" si="44"/>
        <v>462636</v>
      </c>
      <c r="T90" s="121"/>
      <c r="U90" s="121"/>
      <c r="V90" s="121"/>
    </row>
    <row r="91" spans="2:22" s="5" customFormat="1" ht="78" hidden="1" customHeight="1" x14ac:dyDescent="0.25">
      <c r="B91" s="54" t="s">
        <v>970</v>
      </c>
      <c r="C91" s="46" t="s">
        <v>969</v>
      </c>
      <c r="D91" s="59">
        <v>0</v>
      </c>
      <c r="E91" s="59">
        <v>0</v>
      </c>
      <c r="F91" s="59">
        <v>0</v>
      </c>
      <c r="G91" s="59">
        <v>0</v>
      </c>
      <c r="H91" s="59">
        <v>0</v>
      </c>
      <c r="I91" s="59">
        <v>0</v>
      </c>
      <c r="J91" s="59">
        <v>0</v>
      </c>
      <c r="K91" s="59">
        <v>0</v>
      </c>
      <c r="L91" s="59">
        <v>0</v>
      </c>
      <c r="M91" s="59">
        <v>0</v>
      </c>
      <c r="N91" s="62">
        <v>750000</v>
      </c>
      <c r="O91" s="58">
        <v>375000</v>
      </c>
      <c r="P91" s="59">
        <v>0</v>
      </c>
      <c r="Q91" s="59">
        <v>0</v>
      </c>
      <c r="R91" s="58">
        <f t="shared" ref="R91:R92" si="45">D91+F91+H91+J91+L91+N91+P91</f>
        <v>750000</v>
      </c>
      <c r="S91" s="58">
        <f t="shared" ref="S91:S92" si="46">E91+G91+I91+K91+M91+O91+Q91</f>
        <v>375000</v>
      </c>
      <c r="T91" s="121"/>
      <c r="U91" s="121"/>
      <c r="V91" s="121"/>
    </row>
    <row r="92" spans="2:22" s="5" customFormat="1" ht="78" hidden="1" customHeight="1" x14ac:dyDescent="0.25">
      <c r="B92" s="54" t="s">
        <v>1028</v>
      </c>
      <c r="C92" s="46" t="s">
        <v>1030</v>
      </c>
      <c r="D92" s="59">
        <v>0</v>
      </c>
      <c r="E92" s="59">
        <v>0</v>
      </c>
      <c r="F92" s="59">
        <v>0</v>
      </c>
      <c r="G92" s="59">
        <v>0</v>
      </c>
      <c r="H92" s="59">
        <v>0</v>
      </c>
      <c r="I92" s="59">
        <v>0</v>
      </c>
      <c r="J92" s="59">
        <v>0</v>
      </c>
      <c r="K92" s="59">
        <v>0</v>
      </c>
      <c r="L92" s="59">
        <v>0</v>
      </c>
      <c r="M92" s="59">
        <v>0</v>
      </c>
      <c r="N92" s="62">
        <f>'2 lentelė'!L91</f>
        <v>628101.72</v>
      </c>
      <c r="O92" s="58">
        <f>'2 lentelė'!Q91</f>
        <v>313734.19</v>
      </c>
      <c r="P92" s="59">
        <v>0</v>
      </c>
      <c r="Q92" s="59">
        <v>0</v>
      </c>
      <c r="R92" s="58">
        <f t="shared" si="45"/>
        <v>628101.72</v>
      </c>
      <c r="S92" s="58">
        <f t="shared" si="46"/>
        <v>313734.19</v>
      </c>
      <c r="T92" s="121"/>
      <c r="U92" s="121"/>
      <c r="V92" s="121"/>
    </row>
    <row r="93" spans="2:22" s="5" customFormat="1" ht="38.25" hidden="1" x14ac:dyDescent="0.25">
      <c r="B93" s="60" t="s">
        <v>272</v>
      </c>
      <c r="C93" s="60" t="s">
        <v>273</v>
      </c>
      <c r="D93" s="60">
        <v>0</v>
      </c>
      <c r="E93" s="60">
        <v>0</v>
      </c>
      <c r="F93" s="60">
        <v>0</v>
      </c>
      <c r="G93" s="60">
        <v>0</v>
      </c>
      <c r="H93" s="60">
        <f t="shared" ref="H93:Q93" si="47">SUM(H94:H95)</f>
        <v>0</v>
      </c>
      <c r="I93" s="60">
        <f t="shared" si="47"/>
        <v>0</v>
      </c>
      <c r="J93" s="60">
        <f>SUM(J94:J95)</f>
        <v>2053643.87</v>
      </c>
      <c r="K93" s="60">
        <f t="shared" si="47"/>
        <v>1745596.94</v>
      </c>
      <c r="L93" s="60">
        <f t="shared" si="47"/>
        <v>0</v>
      </c>
      <c r="M93" s="60">
        <f t="shared" si="47"/>
        <v>0</v>
      </c>
      <c r="N93" s="60">
        <f t="shared" si="47"/>
        <v>0</v>
      </c>
      <c r="O93" s="60">
        <f t="shared" si="47"/>
        <v>0</v>
      </c>
      <c r="P93" s="60">
        <f t="shared" si="47"/>
        <v>0</v>
      </c>
      <c r="Q93" s="60">
        <f t="shared" si="47"/>
        <v>0</v>
      </c>
      <c r="R93" s="60">
        <f>SUM(R94:R95)</f>
        <v>2053643.87</v>
      </c>
      <c r="S93" s="60">
        <f>S94+S95</f>
        <v>1745596.94</v>
      </c>
      <c r="T93" s="121"/>
      <c r="U93" s="121"/>
      <c r="V93" s="121"/>
    </row>
    <row r="94" spans="2:22" s="5" customFormat="1" ht="76.5" hidden="1" x14ac:dyDescent="0.25">
      <c r="B94" s="88" t="s">
        <v>274</v>
      </c>
      <c r="C94" s="54" t="s">
        <v>275</v>
      </c>
      <c r="D94" s="59">
        <v>0</v>
      </c>
      <c r="E94" s="59">
        <v>0</v>
      </c>
      <c r="F94" s="59">
        <v>0</v>
      </c>
      <c r="G94" s="58">
        <v>0</v>
      </c>
      <c r="H94" s="58">
        <v>0</v>
      </c>
      <c r="I94" s="58">
        <v>0</v>
      </c>
      <c r="J94" s="58">
        <f>'2 lentelė'!L93</f>
        <v>1018412.87</v>
      </c>
      <c r="K94" s="58">
        <f>'2 lentelė'!Q93</f>
        <v>865650.94</v>
      </c>
      <c r="L94" s="58">
        <v>0</v>
      </c>
      <c r="M94" s="58">
        <v>0</v>
      </c>
      <c r="N94" s="58">
        <v>0</v>
      </c>
      <c r="O94" s="58">
        <v>0</v>
      </c>
      <c r="P94" s="58">
        <v>0</v>
      </c>
      <c r="Q94" s="58">
        <v>0</v>
      </c>
      <c r="R94" s="58">
        <f>D94+F94+H94+J94+L94+N94+P94</f>
        <v>1018412.87</v>
      </c>
      <c r="S94" s="58">
        <f>E94+G94+I94+K94+M94+O94+Q94</f>
        <v>865650.94</v>
      </c>
      <c r="T94" s="121"/>
      <c r="U94" s="121"/>
      <c r="V94" s="121"/>
    </row>
    <row r="95" spans="2:22" s="5" customFormat="1" ht="76.5" hidden="1" x14ac:dyDescent="0.25">
      <c r="B95" s="88" t="s">
        <v>276</v>
      </c>
      <c r="C95" s="54" t="s">
        <v>277</v>
      </c>
      <c r="D95" s="59">
        <v>0</v>
      </c>
      <c r="E95" s="59">
        <v>0</v>
      </c>
      <c r="F95" s="59">
        <v>0</v>
      </c>
      <c r="G95" s="58">
        <v>0</v>
      </c>
      <c r="H95" s="58">
        <v>0</v>
      </c>
      <c r="I95" s="58">
        <v>0</v>
      </c>
      <c r="J95" s="58">
        <f>'2 lentelė'!L94</f>
        <v>1035231</v>
      </c>
      <c r="K95" s="58">
        <f>'2 lentelė'!Q94</f>
        <v>879946</v>
      </c>
      <c r="L95" s="58">
        <v>0</v>
      </c>
      <c r="M95" s="58">
        <v>0</v>
      </c>
      <c r="N95" s="58">
        <v>0</v>
      </c>
      <c r="O95" s="58">
        <v>0</v>
      </c>
      <c r="P95" s="58">
        <v>0</v>
      </c>
      <c r="Q95" s="58">
        <v>0</v>
      </c>
      <c r="R95" s="58">
        <f>D95+F95+H95+J95+L95+N95+P95</f>
        <v>1035231</v>
      </c>
      <c r="S95" s="58">
        <f>E95+G95+I95+K95+M95+O95+Q95</f>
        <v>879946</v>
      </c>
      <c r="T95" s="121"/>
      <c r="U95" s="121"/>
      <c r="V95" s="121"/>
    </row>
    <row r="96" spans="2:22" s="5" customFormat="1" ht="38.25" hidden="1" x14ac:dyDescent="0.25">
      <c r="B96" s="60" t="s">
        <v>278</v>
      </c>
      <c r="C96" s="60" t="s">
        <v>279</v>
      </c>
      <c r="D96" s="60">
        <v>0</v>
      </c>
      <c r="E96" s="60">
        <v>0</v>
      </c>
      <c r="F96" s="60">
        <v>0</v>
      </c>
      <c r="G96" s="60">
        <v>0</v>
      </c>
      <c r="H96" s="60">
        <f t="shared" ref="H96:S96" si="48">SUM(H97:H102)</f>
        <v>0</v>
      </c>
      <c r="I96" s="60">
        <f t="shared" si="48"/>
        <v>0</v>
      </c>
      <c r="J96" s="60">
        <f t="shared" si="48"/>
        <v>3414713.49</v>
      </c>
      <c r="K96" s="60">
        <f t="shared" si="48"/>
        <v>2832116.82</v>
      </c>
      <c r="L96" s="60">
        <f t="shared" si="48"/>
        <v>0</v>
      </c>
      <c r="M96" s="60">
        <f t="shared" si="48"/>
        <v>0</v>
      </c>
      <c r="N96" s="60">
        <f t="shared" si="48"/>
        <v>0</v>
      </c>
      <c r="O96" s="60">
        <f t="shared" si="48"/>
        <v>0</v>
      </c>
      <c r="P96" s="60">
        <f t="shared" si="48"/>
        <v>0</v>
      </c>
      <c r="Q96" s="60">
        <f t="shared" si="48"/>
        <v>0</v>
      </c>
      <c r="R96" s="60">
        <f>SUM(R97:R102)</f>
        <v>3414713.49</v>
      </c>
      <c r="S96" s="60">
        <f t="shared" si="48"/>
        <v>2832116.82</v>
      </c>
      <c r="T96" s="121"/>
      <c r="U96" s="121"/>
      <c r="V96" s="121"/>
    </row>
    <row r="97" spans="2:22" s="5" customFormat="1" ht="51" hidden="1" x14ac:dyDescent="0.25">
      <c r="B97" s="88" t="s">
        <v>280</v>
      </c>
      <c r="C97" s="54" t="s">
        <v>281</v>
      </c>
      <c r="D97" s="59">
        <v>0</v>
      </c>
      <c r="E97" s="59">
        <v>0</v>
      </c>
      <c r="F97" s="59">
        <v>0</v>
      </c>
      <c r="G97" s="58">
        <v>0</v>
      </c>
      <c r="H97" s="58">
        <v>0</v>
      </c>
      <c r="I97" s="58">
        <v>0</v>
      </c>
      <c r="J97" s="58">
        <f>'2 lentelė'!L96</f>
        <v>670569.16</v>
      </c>
      <c r="K97" s="58">
        <f>'2 lentelė'!Q96</f>
        <v>504770</v>
      </c>
      <c r="L97" s="58">
        <v>0</v>
      </c>
      <c r="M97" s="58">
        <v>0</v>
      </c>
      <c r="N97" s="58">
        <v>0</v>
      </c>
      <c r="O97" s="58">
        <v>0</v>
      </c>
      <c r="P97" s="58">
        <v>0</v>
      </c>
      <c r="Q97" s="58">
        <v>0</v>
      </c>
      <c r="R97" s="58">
        <f t="shared" ref="R97:S102" si="49">D97+F97+H97+J97+L97+N97+P97</f>
        <v>670569.16</v>
      </c>
      <c r="S97" s="58">
        <f t="shared" si="49"/>
        <v>504770</v>
      </c>
      <c r="T97" s="121"/>
      <c r="U97" s="121"/>
      <c r="V97" s="121"/>
    </row>
    <row r="98" spans="2:22" s="5" customFormat="1" ht="102" hidden="1" x14ac:dyDescent="0.25">
      <c r="B98" s="88" t="s">
        <v>282</v>
      </c>
      <c r="C98" s="54" t="s">
        <v>283</v>
      </c>
      <c r="D98" s="59">
        <v>0</v>
      </c>
      <c r="E98" s="59">
        <v>0</v>
      </c>
      <c r="F98" s="59">
        <v>0</v>
      </c>
      <c r="G98" s="58">
        <v>0</v>
      </c>
      <c r="H98" s="58">
        <v>0</v>
      </c>
      <c r="I98" s="58">
        <v>0</v>
      </c>
      <c r="J98" s="58">
        <f>'2 lentelė'!L97</f>
        <v>400317.65</v>
      </c>
      <c r="K98" s="58">
        <f>'2 lentelė'!Q97</f>
        <v>340270</v>
      </c>
      <c r="L98" s="58">
        <v>0</v>
      </c>
      <c r="M98" s="58">
        <v>0</v>
      </c>
      <c r="N98" s="58">
        <v>0</v>
      </c>
      <c r="O98" s="58">
        <v>0</v>
      </c>
      <c r="P98" s="58">
        <v>0</v>
      </c>
      <c r="Q98" s="58">
        <v>0</v>
      </c>
      <c r="R98" s="58">
        <f t="shared" si="49"/>
        <v>400317.65</v>
      </c>
      <c r="S98" s="58">
        <f t="shared" si="49"/>
        <v>340270</v>
      </c>
      <c r="T98" s="121"/>
      <c r="U98" s="121"/>
      <c r="V98" s="121"/>
    </row>
    <row r="99" spans="2:22" s="5" customFormat="1" ht="63.75" hidden="1" x14ac:dyDescent="0.25">
      <c r="B99" s="88" t="s">
        <v>284</v>
      </c>
      <c r="C99" s="54" t="s">
        <v>285</v>
      </c>
      <c r="D99" s="59">
        <v>0</v>
      </c>
      <c r="E99" s="59">
        <v>0</v>
      </c>
      <c r="F99" s="59">
        <v>0</v>
      </c>
      <c r="G99" s="58">
        <v>0</v>
      </c>
      <c r="H99" s="58">
        <v>0</v>
      </c>
      <c r="I99" s="58">
        <v>0</v>
      </c>
      <c r="J99" s="58">
        <f>'2 lentelė'!L98</f>
        <v>610906</v>
      </c>
      <c r="K99" s="58">
        <f>'2 lentelė'!Q98</f>
        <v>519270</v>
      </c>
      <c r="L99" s="58">
        <v>0</v>
      </c>
      <c r="M99" s="58">
        <v>0</v>
      </c>
      <c r="N99" s="58">
        <v>0</v>
      </c>
      <c r="O99" s="58">
        <v>0</v>
      </c>
      <c r="P99" s="58">
        <v>0</v>
      </c>
      <c r="Q99" s="58">
        <v>0</v>
      </c>
      <c r="R99" s="58">
        <f t="shared" si="49"/>
        <v>610906</v>
      </c>
      <c r="S99" s="58">
        <f t="shared" si="49"/>
        <v>519270</v>
      </c>
      <c r="T99" s="121"/>
      <c r="U99" s="121"/>
      <c r="V99" s="121"/>
    </row>
    <row r="100" spans="2:22" s="5" customFormat="1" ht="51" hidden="1" x14ac:dyDescent="0.25">
      <c r="B100" s="88" t="s">
        <v>286</v>
      </c>
      <c r="C100" s="54" t="s">
        <v>287</v>
      </c>
      <c r="D100" s="59">
        <v>0</v>
      </c>
      <c r="E100" s="59">
        <v>0</v>
      </c>
      <c r="F100" s="59">
        <v>0</v>
      </c>
      <c r="G100" s="58">
        <v>0</v>
      </c>
      <c r="H100" s="58">
        <v>0</v>
      </c>
      <c r="I100" s="58">
        <v>0</v>
      </c>
      <c r="J100" s="58">
        <f>'2 lentelė'!L99</f>
        <v>546406</v>
      </c>
      <c r="K100" s="58">
        <f>'2 lentelė'!Q99</f>
        <v>459270</v>
      </c>
      <c r="L100" s="58">
        <v>0</v>
      </c>
      <c r="M100" s="58">
        <v>0</v>
      </c>
      <c r="N100" s="58">
        <v>0</v>
      </c>
      <c r="O100" s="58">
        <v>0</v>
      </c>
      <c r="P100" s="58">
        <v>0</v>
      </c>
      <c r="Q100" s="58">
        <v>0</v>
      </c>
      <c r="R100" s="58">
        <f>D100+F100+H100+J100+L100+N100+P100</f>
        <v>546406</v>
      </c>
      <c r="S100" s="58">
        <f t="shared" si="49"/>
        <v>459270</v>
      </c>
      <c r="T100" s="121"/>
      <c r="U100" s="121"/>
      <c r="V100" s="121"/>
    </row>
    <row r="101" spans="2:22" s="5" customFormat="1" ht="51" hidden="1" x14ac:dyDescent="0.25">
      <c r="B101" s="88" t="s">
        <v>288</v>
      </c>
      <c r="C101" s="54" t="s">
        <v>289</v>
      </c>
      <c r="D101" s="59">
        <v>0</v>
      </c>
      <c r="E101" s="59">
        <v>0</v>
      </c>
      <c r="F101" s="59">
        <v>0</v>
      </c>
      <c r="G101" s="58">
        <v>0</v>
      </c>
      <c r="H101" s="58">
        <v>0</v>
      </c>
      <c r="I101" s="58">
        <v>0</v>
      </c>
      <c r="J101" s="58">
        <f>'2 lentelė'!L100</f>
        <v>569725.67999999993</v>
      </c>
      <c r="K101" s="58">
        <f>'2 lentelė'!Q100</f>
        <v>484266.82</v>
      </c>
      <c r="L101" s="58">
        <v>0</v>
      </c>
      <c r="M101" s="58">
        <v>0</v>
      </c>
      <c r="N101" s="58">
        <v>0</v>
      </c>
      <c r="O101" s="58">
        <v>0</v>
      </c>
      <c r="P101" s="58">
        <v>0</v>
      </c>
      <c r="Q101" s="58">
        <v>0</v>
      </c>
      <c r="R101" s="58">
        <f t="shared" si="49"/>
        <v>569725.67999999993</v>
      </c>
      <c r="S101" s="58">
        <f t="shared" si="49"/>
        <v>484266.82</v>
      </c>
      <c r="T101" s="121"/>
      <c r="U101" s="121"/>
      <c r="V101" s="121"/>
    </row>
    <row r="102" spans="2:22" s="5" customFormat="1" ht="51" hidden="1" x14ac:dyDescent="0.25">
      <c r="B102" s="88" t="s">
        <v>290</v>
      </c>
      <c r="C102" s="54" t="s">
        <v>291</v>
      </c>
      <c r="D102" s="59">
        <v>0</v>
      </c>
      <c r="E102" s="59">
        <v>0</v>
      </c>
      <c r="F102" s="59">
        <v>0</v>
      </c>
      <c r="G102" s="58">
        <v>0</v>
      </c>
      <c r="H102" s="58">
        <v>0</v>
      </c>
      <c r="I102" s="58">
        <v>0</v>
      </c>
      <c r="J102" s="58">
        <f>'2 lentelė'!L101</f>
        <v>616789</v>
      </c>
      <c r="K102" s="58">
        <f>'2 lentelė'!Q101</f>
        <v>524270</v>
      </c>
      <c r="L102" s="58">
        <v>0</v>
      </c>
      <c r="M102" s="58">
        <v>0</v>
      </c>
      <c r="N102" s="58">
        <v>0</v>
      </c>
      <c r="O102" s="58">
        <v>0</v>
      </c>
      <c r="P102" s="58">
        <v>0</v>
      </c>
      <c r="Q102" s="58">
        <v>0</v>
      </c>
      <c r="R102" s="58">
        <f t="shared" si="49"/>
        <v>616789</v>
      </c>
      <c r="S102" s="58">
        <f t="shared" si="49"/>
        <v>524270</v>
      </c>
      <c r="T102" s="121"/>
      <c r="U102" s="121"/>
      <c r="V102" s="121"/>
    </row>
    <row r="103" spans="2:22" s="5" customFormat="1" ht="51" hidden="1" x14ac:dyDescent="0.25">
      <c r="B103" s="117" t="s">
        <v>293</v>
      </c>
      <c r="C103" s="37" t="s">
        <v>294</v>
      </c>
      <c r="D103" s="37">
        <v>0</v>
      </c>
      <c r="E103" s="37">
        <v>0</v>
      </c>
      <c r="F103" s="37">
        <v>0</v>
      </c>
      <c r="G103" s="37">
        <v>0</v>
      </c>
      <c r="H103" s="37">
        <f>SUM(H104)</f>
        <v>238835.47</v>
      </c>
      <c r="I103" s="37">
        <f t="shared" ref="I103:S103" si="50">SUM(I104)</f>
        <v>203010.14</v>
      </c>
      <c r="J103" s="37">
        <f>SUM(J104)</f>
        <v>1618671.6099999999</v>
      </c>
      <c r="K103" s="37">
        <f>SUM(K104)</f>
        <v>1375870.84</v>
      </c>
      <c r="L103" s="37">
        <f t="shared" si="50"/>
        <v>474390.27</v>
      </c>
      <c r="M103" s="37">
        <f t="shared" si="50"/>
        <v>366390.06</v>
      </c>
      <c r="N103" s="37">
        <f t="shared" si="50"/>
        <v>1199024.7200000002</v>
      </c>
      <c r="O103" s="37">
        <f t="shared" si="50"/>
        <v>1019171</v>
      </c>
      <c r="P103" s="37">
        <f t="shared" si="50"/>
        <v>0</v>
      </c>
      <c r="Q103" s="37">
        <f t="shared" si="50"/>
        <v>0</v>
      </c>
      <c r="R103" s="37">
        <f t="shared" si="50"/>
        <v>3530922.0700000003</v>
      </c>
      <c r="S103" s="37">
        <f t="shared" si="50"/>
        <v>2964442.04</v>
      </c>
      <c r="T103" s="116"/>
      <c r="U103" s="116"/>
      <c r="V103" s="121"/>
    </row>
    <row r="104" spans="2:22" s="5" customFormat="1" ht="25.5" hidden="1" x14ac:dyDescent="0.25">
      <c r="B104" s="60" t="s">
        <v>295</v>
      </c>
      <c r="C104" s="60" t="s">
        <v>296</v>
      </c>
      <c r="D104" s="60">
        <v>0</v>
      </c>
      <c r="E104" s="60">
        <v>0</v>
      </c>
      <c r="F104" s="60">
        <v>0</v>
      </c>
      <c r="G104" s="60">
        <v>0</v>
      </c>
      <c r="H104" s="60">
        <f>SUM(H106:H109)</f>
        <v>238835.47</v>
      </c>
      <c r="I104" s="60">
        <f>SUM(I106:I109)</f>
        <v>203010.14</v>
      </c>
      <c r="J104" s="60">
        <f t="shared" ref="J104:S104" si="51">SUM(J105:J112)+SUM(J113:J114)</f>
        <v>1618671.6099999999</v>
      </c>
      <c r="K104" s="60">
        <f t="shared" si="51"/>
        <v>1375870.84</v>
      </c>
      <c r="L104" s="60">
        <f t="shared" si="51"/>
        <v>474390.27</v>
      </c>
      <c r="M104" s="60">
        <f t="shared" si="51"/>
        <v>366390.06</v>
      </c>
      <c r="N104" s="60">
        <f t="shared" si="51"/>
        <v>1199024.7200000002</v>
      </c>
      <c r="O104" s="60">
        <f t="shared" si="51"/>
        <v>1019171</v>
      </c>
      <c r="P104" s="60">
        <f t="shared" si="51"/>
        <v>0</v>
      </c>
      <c r="Q104" s="60">
        <f t="shared" si="51"/>
        <v>0</v>
      </c>
      <c r="R104" s="60">
        <f t="shared" si="51"/>
        <v>3530922.0700000003</v>
      </c>
      <c r="S104" s="60">
        <f t="shared" si="51"/>
        <v>2964442.04</v>
      </c>
      <c r="T104" s="116"/>
      <c r="U104" s="116"/>
      <c r="V104" s="121"/>
    </row>
    <row r="105" spans="2:22" s="87" customFormat="1" ht="38.25" hidden="1" x14ac:dyDescent="0.25">
      <c r="B105" s="88" t="s">
        <v>297</v>
      </c>
      <c r="C105" s="54" t="s">
        <v>298</v>
      </c>
      <c r="D105" s="54">
        <v>0</v>
      </c>
      <c r="E105" s="54">
        <v>0</v>
      </c>
      <c r="F105" s="54">
        <v>0</v>
      </c>
      <c r="G105" s="88">
        <v>0</v>
      </c>
      <c r="H105" s="88">
        <v>0</v>
      </c>
      <c r="I105" s="88">
        <v>0</v>
      </c>
      <c r="J105" s="88">
        <v>0</v>
      </c>
      <c r="K105" s="88">
        <v>0</v>
      </c>
      <c r="L105" s="88">
        <v>0</v>
      </c>
      <c r="M105" s="88">
        <v>0</v>
      </c>
      <c r="N105" s="88">
        <f>'2 lentelė'!L103</f>
        <v>77618.78</v>
      </c>
      <c r="O105" s="88">
        <f>'2 lentelė'!Q103</f>
        <v>65975.960000000006</v>
      </c>
      <c r="P105" s="88">
        <v>0</v>
      </c>
      <c r="Q105" s="88">
        <v>0</v>
      </c>
      <c r="R105" s="88">
        <f>D105+F105+H105+J105+L105+N105+P105</f>
        <v>77618.78</v>
      </c>
      <c r="S105" s="88">
        <f>E105+G105+I105+K105+M105+O105+Q105</f>
        <v>65975.960000000006</v>
      </c>
      <c r="T105" s="122"/>
      <c r="U105" s="122"/>
      <c r="V105" s="123"/>
    </row>
    <row r="106" spans="2:22" s="5" customFormat="1" ht="63.75" hidden="1" x14ac:dyDescent="0.25">
      <c r="B106" s="88" t="s">
        <v>299</v>
      </c>
      <c r="C106" s="54" t="s">
        <v>300</v>
      </c>
      <c r="D106" s="59">
        <v>0</v>
      </c>
      <c r="E106" s="59">
        <v>0</v>
      </c>
      <c r="F106" s="59">
        <v>0</v>
      </c>
      <c r="G106" s="58">
        <v>0</v>
      </c>
      <c r="H106" s="58">
        <v>0</v>
      </c>
      <c r="I106" s="58">
        <v>0</v>
      </c>
      <c r="J106" s="58">
        <f>'2 lentelė'!L104</f>
        <v>383205.9</v>
      </c>
      <c r="K106" s="58">
        <f>'2 lentelė'!Q104</f>
        <v>325725</v>
      </c>
      <c r="L106" s="58">
        <v>0</v>
      </c>
      <c r="M106" s="58">
        <v>0</v>
      </c>
      <c r="N106" s="58">
        <v>0</v>
      </c>
      <c r="O106" s="58">
        <v>0</v>
      </c>
      <c r="P106" s="58">
        <v>0</v>
      </c>
      <c r="Q106" s="58">
        <v>0</v>
      </c>
      <c r="R106" s="58">
        <f t="shared" ref="R106:S114" si="52">D106+F106+H106+J106+L106+N106+P106</f>
        <v>383205.9</v>
      </c>
      <c r="S106" s="58">
        <f t="shared" si="52"/>
        <v>325725</v>
      </c>
      <c r="T106" s="116"/>
      <c r="U106" s="116"/>
      <c r="V106" s="121"/>
    </row>
    <row r="107" spans="2:22" s="5" customFormat="1" ht="51" hidden="1" x14ac:dyDescent="0.25">
      <c r="B107" s="88" t="s">
        <v>301</v>
      </c>
      <c r="C107" s="54" t="s">
        <v>302</v>
      </c>
      <c r="D107" s="59">
        <v>0</v>
      </c>
      <c r="E107" s="59">
        <v>0</v>
      </c>
      <c r="F107" s="59">
        <v>0</v>
      </c>
      <c r="G107" s="58">
        <v>0</v>
      </c>
      <c r="H107" s="58">
        <v>0</v>
      </c>
      <c r="I107" s="58">
        <v>0</v>
      </c>
      <c r="J107" s="58">
        <f>'2 lentelė'!L105</f>
        <v>644100</v>
      </c>
      <c r="K107" s="58">
        <f>'2 lentelė'!Q105</f>
        <v>547485</v>
      </c>
      <c r="L107" s="58">
        <v>0</v>
      </c>
      <c r="M107" s="58">
        <v>0</v>
      </c>
      <c r="N107" s="58">
        <v>0</v>
      </c>
      <c r="O107" s="58">
        <v>0</v>
      </c>
      <c r="P107" s="58">
        <v>0</v>
      </c>
      <c r="Q107" s="58">
        <v>0</v>
      </c>
      <c r="R107" s="58">
        <f>D107+F107+H107+J107+L107+N107+P107</f>
        <v>644100</v>
      </c>
      <c r="S107" s="58">
        <f t="shared" si="52"/>
        <v>547485</v>
      </c>
      <c r="T107" s="116"/>
      <c r="U107" s="116"/>
      <c r="V107" s="121"/>
    </row>
    <row r="108" spans="2:22" s="5" customFormat="1" ht="63.75" hidden="1" x14ac:dyDescent="0.25">
      <c r="B108" s="88" t="s">
        <v>303</v>
      </c>
      <c r="C108" s="54" t="s">
        <v>304</v>
      </c>
      <c r="D108" s="59">
        <v>0</v>
      </c>
      <c r="E108" s="59">
        <v>0</v>
      </c>
      <c r="F108" s="59">
        <v>0</v>
      </c>
      <c r="G108" s="58">
        <v>0</v>
      </c>
      <c r="H108" s="58">
        <v>0</v>
      </c>
      <c r="I108" s="58">
        <v>0</v>
      </c>
      <c r="J108" s="58">
        <f>'2 lentelė'!L106</f>
        <v>591365.71</v>
      </c>
      <c r="K108" s="58">
        <f>'2 lentelė'!Q106</f>
        <v>502660.84</v>
      </c>
      <c r="L108" s="58">
        <v>0</v>
      </c>
      <c r="M108" s="58">
        <v>0</v>
      </c>
      <c r="N108" s="58">
        <v>0</v>
      </c>
      <c r="O108" s="58">
        <v>0</v>
      </c>
      <c r="P108" s="58">
        <v>0</v>
      </c>
      <c r="Q108" s="58">
        <v>0</v>
      </c>
      <c r="R108" s="58">
        <f>D108+F108+H108+J108+L108+N108+P108</f>
        <v>591365.71</v>
      </c>
      <c r="S108" s="58">
        <f t="shared" si="52"/>
        <v>502660.84</v>
      </c>
      <c r="T108" s="116"/>
      <c r="U108" s="116"/>
      <c r="V108" s="121"/>
    </row>
    <row r="109" spans="2:22" s="5" customFormat="1" ht="89.25" hidden="1" x14ac:dyDescent="0.25">
      <c r="B109" s="88" t="s">
        <v>305</v>
      </c>
      <c r="C109" s="54" t="s">
        <v>306</v>
      </c>
      <c r="D109" s="59">
        <v>0</v>
      </c>
      <c r="E109" s="59">
        <v>0</v>
      </c>
      <c r="F109" s="59">
        <v>0</v>
      </c>
      <c r="G109" s="58">
        <v>0</v>
      </c>
      <c r="H109" s="58">
        <f>'2 lentelė'!L107</f>
        <v>238835.47</v>
      </c>
      <c r="I109" s="58">
        <f>'2 lentelė'!Q107</f>
        <v>203010.14</v>
      </c>
      <c r="J109" s="58">
        <v>0</v>
      </c>
      <c r="K109" s="58">
        <v>0</v>
      </c>
      <c r="L109" s="58">
        <v>0</v>
      </c>
      <c r="M109" s="58">
        <v>0</v>
      </c>
      <c r="N109" s="58">
        <v>0</v>
      </c>
      <c r="O109" s="58">
        <v>0</v>
      </c>
      <c r="P109" s="58">
        <v>0</v>
      </c>
      <c r="Q109" s="58">
        <v>0</v>
      </c>
      <c r="R109" s="58">
        <f t="shared" si="52"/>
        <v>238835.47</v>
      </c>
      <c r="S109" s="58">
        <f t="shared" si="52"/>
        <v>203010.14</v>
      </c>
      <c r="T109" s="116"/>
      <c r="U109" s="116"/>
      <c r="V109" s="121"/>
    </row>
    <row r="110" spans="2:22" s="5" customFormat="1" ht="63.75" hidden="1" x14ac:dyDescent="0.25">
      <c r="B110" s="88" t="s">
        <v>307</v>
      </c>
      <c r="C110" s="54" t="s">
        <v>308</v>
      </c>
      <c r="D110" s="59">
        <v>0</v>
      </c>
      <c r="E110" s="59">
        <v>0</v>
      </c>
      <c r="F110" s="59">
        <v>0</v>
      </c>
      <c r="G110" s="58">
        <v>0</v>
      </c>
      <c r="H110" s="58">
        <v>0</v>
      </c>
      <c r="I110" s="58">
        <v>0</v>
      </c>
      <c r="J110" s="58">
        <v>0</v>
      </c>
      <c r="K110" s="58">
        <v>0</v>
      </c>
      <c r="L110" s="58">
        <f>'2 lentelė'!L108</f>
        <v>180230</v>
      </c>
      <c r="M110" s="58">
        <f>'2 lentelė'!Q108</f>
        <v>153195.03</v>
      </c>
      <c r="N110" s="58">
        <v>0</v>
      </c>
      <c r="O110" s="58">
        <v>0</v>
      </c>
      <c r="P110" s="58">
        <v>0</v>
      </c>
      <c r="Q110" s="58">
        <v>0</v>
      </c>
      <c r="R110" s="58">
        <f>D110+F110+H110+J110+L110+N110+P110</f>
        <v>180230</v>
      </c>
      <c r="S110" s="58">
        <f t="shared" si="52"/>
        <v>153195.03</v>
      </c>
      <c r="T110" s="116"/>
      <c r="U110" s="116"/>
      <c r="V110" s="121"/>
    </row>
    <row r="111" spans="2:22" s="5" customFormat="1" ht="89.25" hidden="1" customHeight="1" x14ac:dyDescent="0.25">
      <c r="B111" s="88" t="s">
        <v>309</v>
      </c>
      <c r="C111" s="54" t="s">
        <v>310</v>
      </c>
      <c r="D111" s="59">
        <v>0</v>
      </c>
      <c r="E111" s="59">
        <v>0</v>
      </c>
      <c r="F111" s="59">
        <v>0</v>
      </c>
      <c r="G111" s="58">
        <v>0</v>
      </c>
      <c r="H111" s="58">
        <v>0</v>
      </c>
      <c r="I111" s="58">
        <v>0</v>
      </c>
      <c r="J111" s="58">
        <v>0</v>
      </c>
      <c r="K111" s="58">
        <v>0</v>
      </c>
      <c r="L111" s="58">
        <v>0</v>
      </c>
      <c r="M111" s="58">
        <v>0</v>
      </c>
      <c r="N111" s="58">
        <f>'2 lentelė'!L109</f>
        <v>470588.24</v>
      </c>
      <c r="O111" s="58">
        <f>'2 lentelė'!Q109</f>
        <v>400000</v>
      </c>
      <c r="P111" s="58">
        <v>0</v>
      </c>
      <c r="Q111" s="58">
        <v>0</v>
      </c>
      <c r="R111" s="58">
        <f>D111+F111+H111+J111+L111+N111+P111</f>
        <v>470588.24</v>
      </c>
      <c r="S111" s="58">
        <f t="shared" si="52"/>
        <v>400000</v>
      </c>
      <c r="T111" s="116"/>
      <c r="U111" s="116"/>
      <c r="V111" s="121"/>
    </row>
    <row r="112" spans="2:22" s="5" customFormat="1" ht="89.25" hidden="1" customHeight="1" x14ac:dyDescent="0.25">
      <c r="B112" s="88" t="s">
        <v>311</v>
      </c>
      <c r="C112" s="54" t="s">
        <v>312</v>
      </c>
      <c r="D112" s="59">
        <v>0</v>
      </c>
      <c r="E112" s="59">
        <v>0</v>
      </c>
      <c r="F112" s="59">
        <v>0</v>
      </c>
      <c r="G112" s="58">
        <v>0</v>
      </c>
      <c r="H112" s="58">
        <v>0</v>
      </c>
      <c r="I112" s="58">
        <v>0</v>
      </c>
      <c r="J112" s="58">
        <v>0</v>
      </c>
      <c r="K112" s="58">
        <v>0</v>
      </c>
      <c r="L112" s="58">
        <v>0</v>
      </c>
      <c r="M112" s="58">
        <v>0</v>
      </c>
      <c r="N112" s="58">
        <f>'2 lentelė'!L110</f>
        <v>62582.400000000001</v>
      </c>
      <c r="O112" s="58">
        <f>'2 lentelė'!Q110</f>
        <v>53195.040000000001</v>
      </c>
      <c r="P112" s="58">
        <v>0</v>
      </c>
      <c r="Q112" s="58">
        <v>0</v>
      </c>
      <c r="R112" s="58">
        <f>D112+F112+H112+J112+L112+N112+P112</f>
        <v>62582.400000000001</v>
      </c>
      <c r="S112" s="58">
        <f t="shared" si="52"/>
        <v>53195.040000000001</v>
      </c>
      <c r="T112" s="116"/>
      <c r="U112" s="116"/>
      <c r="V112" s="121"/>
    </row>
    <row r="113" spans="2:22" s="5" customFormat="1" ht="61.5" hidden="1" customHeight="1" x14ac:dyDescent="0.25">
      <c r="B113" s="88" t="s">
        <v>313</v>
      </c>
      <c r="C113" s="54" t="s">
        <v>314</v>
      </c>
      <c r="D113" s="59">
        <v>0</v>
      </c>
      <c r="E113" s="59">
        <v>0</v>
      </c>
      <c r="F113" s="59">
        <v>0</v>
      </c>
      <c r="G113" s="58">
        <v>0</v>
      </c>
      <c r="H113" s="58">
        <v>0</v>
      </c>
      <c r="I113" s="58">
        <v>0</v>
      </c>
      <c r="J113" s="58">
        <v>0</v>
      </c>
      <c r="K113" s="58">
        <v>0</v>
      </c>
      <c r="L113" s="58">
        <f>'2 lentelė'!L111</f>
        <v>294160.27</v>
      </c>
      <c r="M113" s="58">
        <f>'2 lentelė'!Q111</f>
        <v>213195.03</v>
      </c>
      <c r="N113" s="58">
        <v>0</v>
      </c>
      <c r="O113" s="58">
        <v>0</v>
      </c>
      <c r="P113" s="58">
        <v>0</v>
      </c>
      <c r="Q113" s="58">
        <v>0</v>
      </c>
      <c r="R113" s="58">
        <f>D113+F113+H113+J113+L113+N113+P113</f>
        <v>294160.27</v>
      </c>
      <c r="S113" s="58">
        <f t="shared" si="52"/>
        <v>213195.03</v>
      </c>
      <c r="T113" s="116"/>
      <c r="U113" s="116"/>
      <c r="V113" s="121"/>
    </row>
    <row r="114" spans="2:22" s="5" customFormat="1" ht="76.5" hidden="1" x14ac:dyDescent="0.25">
      <c r="B114" s="88" t="s">
        <v>315</v>
      </c>
      <c r="C114" s="54" t="s">
        <v>316</v>
      </c>
      <c r="D114" s="59">
        <v>0</v>
      </c>
      <c r="E114" s="59">
        <v>0</v>
      </c>
      <c r="F114" s="59">
        <v>0</v>
      </c>
      <c r="G114" s="58">
        <v>0</v>
      </c>
      <c r="H114" s="58">
        <v>0</v>
      </c>
      <c r="I114" s="58">
        <v>0</v>
      </c>
      <c r="J114" s="58">
        <v>0</v>
      </c>
      <c r="K114" s="58">
        <v>0</v>
      </c>
      <c r="L114" s="58">
        <v>0</v>
      </c>
      <c r="M114" s="58">
        <v>0</v>
      </c>
      <c r="N114" s="58">
        <f>'2 lentelė'!L112</f>
        <v>588235.30000000005</v>
      </c>
      <c r="O114" s="58">
        <f>'2 lentelė'!Q112</f>
        <v>500000</v>
      </c>
      <c r="P114" s="58">
        <v>0</v>
      </c>
      <c r="Q114" s="58">
        <v>0</v>
      </c>
      <c r="R114" s="58">
        <f>D114+F114+H114+J114+L114+N114+P114</f>
        <v>588235.30000000005</v>
      </c>
      <c r="S114" s="58">
        <f t="shared" si="52"/>
        <v>500000</v>
      </c>
      <c r="T114" s="116"/>
      <c r="U114" s="116"/>
      <c r="V114" s="121"/>
    </row>
    <row r="115" spans="2:22" s="5" customFormat="1" ht="51" hidden="1" x14ac:dyDescent="0.25">
      <c r="B115" s="77" t="s">
        <v>317</v>
      </c>
      <c r="C115" s="78" t="s">
        <v>318</v>
      </c>
      <c r="D115" s="77">
        <v>0</v>
      </c>
      <c r="E115" s="78">
        <v>0</v>
      </c>
      <c r="F115" s="77">
        <v>0</v>
      </c>
      <c r="G115" s="78">
        <v>0</v>
      </c>
      <c r="H115" s="77">
        <f>SUM(H116,H119)</f>
        <v>0</v>
      </c>
      <c r="I115" s="78">
        <f t="shared" ref="I115:S115" si="53">SUM(I116,I119)</f>
        <v>0</v>
      </c>
      <c r="J115" s="77">
        <f t="shared" si="53"/>
        <v>0</v>
      </c>
      <c r="K115" s="78">
        <f t="shared" si="53"/>
        <v>0</v>
      </c>
      <c r="L115" s="77">
        <f t="shared" si="53"/>
        <v>2044376</v>
      </c>
      <c r="M115" s="78">
        <f t="shared" si="53"/>
        <v>1737720</v>
      </c>
      <c r="N115" s="77">
        <f t="shared" si="53"/>
        <v>0</v>
      </c>
      <c r="O115" s="78">
        <f t="shared" si="53"/>
        <v>0</v>
      </c>
      <c r="P115" s="77">
        <f t="shared" si="53"/>
        <v>0</v>
      </c>
      <c r="Q115" s="78">
        <f t="shared" si="53"/>
        <v>0</v>
      </c>
      <c r="R115" s="77">
        <f t="shared" si="53"/>
        <v>2044376</v>
      </c>
      <c r="S115" s="78">
        <f t="shared" si="53"/>
        <v>1737720</v>
      </c>
      <c r="T115" s="116"/>
      <c r="U115" s="116"/>
      <c r="V115" s="121"/>
    </row>
    <row r="116" spans="2:22" s="5" customFormat="1" ht="63.75" hidden="1" x14ac:dyDescent="0.25">
      <c r="B116" s="117" t="s">
        <v>319</v>
      </c>
      <c r="C116" s="37" t="s">
        <v>320</v>
      </c>
      <c r="D116" s="37">
        <v>0</v>
      </c>
      <c r="E116" s="37">
        <v>0</v>
      </c>
      <c r="F116" s="37">
        <v>0</v>
      </c>
      <c r="G116" s="37">
        <v>0</v>
      </c>
      <c r="H116" s="117">
        <f>SUM(H117)</f>
        <v>0</v>
      </c>
      <c r="I116" s="37">
        <f t="shared" ref="I116:S117" si="54">SUM(I117)</f>
        <v>0</v>
      </c>
      <c r="J116" s="37">
        <f t="shared" si="54"/>
        <v>0</v>
      </c>
      <c r="K116" s="37">
        <f t="shared" si="54"/>
        <v>0</v>
      </c>
      <c r="L116" s="37">
        <f t="shared" si="54"/>
        <v>2044376</v>
      </c>
      <c r="M116" s="37">
        <f t="shared" si="54"/>
        <v>1737720</v>
      </c>
      <c r="N116" s="117">
        <f t="shared" si="54"/>
        <v>0</v>
      </c>
      <c r="O116" s="37">
        <f t="shared" si="54"/>
        <v>0</v>
      </c>
      <c r="P116" s="37">
        <f t="shared" si="54"/>
        <v>0</v>
      </c>
      <c r="Q116" s="37">
        <f t="shared" si="54"/>
        <v>0</v>
      </c>
      <c r="R116" s="37">
        <f t="shared" si="54"/>
        <v>2044376</v>
      </c>
      <c r="S116" s="37">
        <f t="shared" si="54"/>
        <v>1737720</v>
      </c>
      <c r="T116" s="116"/>
      <c r="U116" s="116"/>
      <c r="V116" s="121"/>
    </row>
    <row r="117" spans="2:22" s="5" customFormat="1" ht="140.25" hidden="1" x14ac:dyDescent="0.25">
      <c r="B117" s="60" t="s">
        <v>321</v>
      </c>
      <c r="C117" s="60" t="s">
        <v>322</v>
      </c>
      <c r="D117" s="60">
        <v>0</v>
      </c>
      <c r="E117" s="60">
        <v>0</v>
      </c>
      <c r="F117" s="60">
        <v>0</v>
      </c>
      <c r="G117" s="60">
        <v>0</v>
      </c>
      <c r="H117" s="60">
        <f>SUM(H118)</f>
        <v>0</v>
      </c>
      <c r="I117" s="60">
        <f t="shared" si="54"/>
        <v>0</v>
      </c>
      <c r="J117" s="60">
        <f t="shared" si="54"/>
        <v>0</v>
      </c>
      <c r="K117" s="60">
        <f t="shared" si="54"/>
        <v>0</v>
      </c>
      <c r="L117" s="60">
        <f t="shared" si="54"/>
        <v>2044376</v>
      </c>
      <c r="M117" s="60">
        <f t="shared" si="54"/>
        <v>1737720</v>
      </c>
      <c r="N117" s="60">
        <f t="shared" si="54"/>
        <v>0</v>
      </c>
      <c r="O117" s="60">
        <f t="shared" si="54"/>
        <v>0</v>
      </c>
      <c r="P117" s="60">
        <f t="shared" si="54"/>
        <v>0</v>
      </c>
      <c r="Q117" s="60">
        <f t="shared" si="54"/>
        <v>0</v>
      </c>
      <c r="R117" s="60">
        <f t="shared" si="54"/>
        <v>2044376</v>
      </c>
      <c r="S117" s="60">
        <f t="shared" si="54"/>
        <v>1737720</v>
      </c>
      <c r="T117" s="116"/>
      <c r="U117" s="116"/>
      <c r="V117" s="121"/>
    </row>
    <row r="118" spans="2:22" s="5" customFormat="1" ht="102" hidden="1" x14ac:dyDescent="0.25">
      <c r="B118" s="88" t="s">
        <v>323</v>
      </c>
      <c r="C118" s="54" t="s">
        <v>324</v>
      </c>
      <c r="D118" s="59">
        <v>0</v>
      </c>
      <c r="E118" s="59">
        <v>0</v>
      </c>
      <c r="F118" s="59">
        <v>0</v>
      </c>
      <c r="G118" s="58">
        <v>0</v>
      </c>
      <c r="H118" s="58">
        <v>0</v>
      </c>
      <c r="I118" s="58">
        <v>0</v>
      </c>
      <c r="J118" s="58">
        <v>0</v>
      </c>
      <c r="K118" s="58">
        <v>0</v>
      </c>
      <c r="L118" s="58">
        <f>'2 lentelė'!L116</f>
        <v>2044376</v>
      </c>
      <c r="M118" s="58">
        <f>'2 lentelė'!Q116</f>
        <v>1737720</v>
      </c>
      <c r="N118" s="58">
        <v>0</v>
      </c>
      <c r="O118" s="58">
        <v>0</v>
      </c>
      <c r="P118" s="58">
        <v>0</v>
      </c>
      <c r="Q118" s="58">
        <v>0</v>
      </c>
      <c r="R118" s="58">
        <f>D118+F118+H118+J118+L118+N118+P118</f>
        <v>2044376</v>
      </c>
      <c r="S118" s="58">
        <f>E118+G118+I118+K118+M118+O118+Q118</f>
        <v>1737720</v>
      </c>
      <c r="T118" s="116"/>
      <c r="U118" s="116"/>
      <c r="V118" s="121"/>
    </row>
    <row r="119" spans="2:22" s="5" customFormat="1" ht="38.25" hidden="1" x14ac:dyDescent="0.25">
      <c r="B119" s="117" t="s">
        <v>325</v>
      </c>
      <c r="C119" s="37" t="s">
        <v>326</v>
      </c>
      <c r="D119" s="37">
        <v>0</v>
      </c>
      <c r="E119" s="117">
        <v>0</v>
      </c>
      <c r="F119" s="37">
        <v>0</v>
      </c>
      <c r="G119" s="37">
        <v>0</v>
      </c>
      <c r="H119" s="117">
        <v>0</v>
      </c>
      <c r="I119" s="37">
        <v>0</v>
      </c>
      <c r="J119" s="37">
        <v>0</v>
      </c>
      <c r="K119" s="117">
        <v>0</v>
      </c>
      <c r="L119" s="37">
        <v>0</v>
      </c>
      <c r="M119" s="37">
        <v>0</v>
      </c>
      <c r="N119" s="117">
        <v>0</v>
      </c>
      <c r="O119" s="37">
        <v>0</v>
      </c>
      <c r="P119" s="37">
        <v>0</v>
      </c>
      <c r="Q119" s="117">
        <v>0</v>
      </c>
      <c r="R119" s="37">
        <v>0</v>
      </c>
      <c r="S119" s="37">
        <v>0</v>
      </c>
      <c r="T119" s="116"/>
      <c r="U119" s="116"/>
      <c r="V119" s="121"/>
    </row>
    <row r="120" spans="2:22" s="5" customFormat="1" ht="38.25" hidden="1" x14ac:dyDescent="0.25">
      <c r="B120" s="60" t="s">
        <v>327</v>
      </c>
      <c r="C120" s="60" t="s">
        <v>328</v>
      </c>
      <c r="D120" s="60">
        <v>0</v>
      </c>
      <c r="E120" s="60">
        <v>0</v>
      </c>
      <c r="F120" s="60">
        <v>0</v>
      </c>
      <c r="G120" s="60">
        <v>0</v>
      </c>
      <c r="H120" s="60">
        <v>0</v>
      </c>
      <c r="I120" s="60">
        <v>0</v>
      </c>
      <c r="J120" s="60">
        <v>0</v>
      </c>
      <c r="K120" s="60">
        <v>0</v>
      </c>
      <c r="L120" s="60">
        <v>0</v>
      </c>
      <c r="M120" s="60">
        <v>0</v>
      </c>
      <c r="N120" s="60">
        <v>0</v>
      </c>
      <c r="O120" s="60">
        <v>0</v>
      </c>
      <c r="P120" s="60">
        <v>0</v>
      </c>
      <c r="Q120" s="60">
        <v>0</v>
      </c>
      <c r="R120" s="60">
        <v>0</v>
      </c>
      <c r="S120" s="60">
        <v>0</v>
      </c>
      <c r="T120" s="116"/>
      <c r="U120" s="116"/>
      <c r="V120" s="121"/>
    </row>
    <row r="121" spans="2:22" s="5" customFormat="1" ht="25.5" hidden="1" x14ac:dyDescent="0.25">
      <c r="B121" s="133" t="s">
        <v>953</v>
      </c>
      <c r="C121" s="81" t="s">
        <v>952</v>
      </c>
      <c r="D121" s="81">
        <f>D122+D135</f>
        <v>0</v>
      </c>
      <c r="E121" s="81">
        <f t="shared" ref="E121:S121" si="55">E122+E135</f>
        <v>0</v>
      </c>
      <c r="F121" s="81">
        <f t="shared" si="55"/>
        <v>0</v>
      </c>
      <c r="G121" s="81">
        <f t="shared" si="55"/>
        <v>0</v>
      </c>
      <c r="H121" s="81">
        <f t="shared" si="55"/>
        <v>2153660.5</v>
      </c>
      <c r="I121" s="81">
        <f t="shared" si="55"/>
        <v>1830610.27</v>
      </c>
      <c r="J121" s="81">
        <f t="shared" si="55"/>
        <v>8359121.46</v>
      </c>
      <c r="K121" s="81">
        <f t="shared" si="55"/>
        <v>7762163.71</v>
      </c>
      <c r="L121" s="81">
        <f t="shared" si="55"/>
        <v>4569303.84</v>
      </c>
      <c r="M121" s="81">
        <f t="shared" si="55"/>
        <v>3292872.5100000002</v>
      </c>
      <c r="N121" s="81">
        <f t="shared" si="55"/>
        <v>711083.31</v>
      </c>
      <c r="O121" s="81">
        <f t="shared" si="55"/>
        <v>601242.05000000005</v>
      </c>
      <c r="P121" s="81">
        <f t="shared" si="55"/>
        <v>0</v>
      </c>
      <c r="Q121" s="81">
        <f t="shared" si="55"/>
        <v>0</v>
      </c>
      <c r="R121" s="81">
        <f t="shared" si="55"/>
        <v>16783093.990000002</v>
      </c>
      <c r="S121" s="81">
        <f t="shared" si="55"/>
        <v>13486888.539999999</v>
      </c>
      <c r="T121" s="116"/>
      <c r="U121" s="116"/>
      <c r="V121" s="121"/>
    </row>
    <row r="122" spans="2:22" s="5" customFormat="1" ht="51" hidden="1" x14ac:dyDescent="0.25">
      <c r="B122" s="77" t="s">
        <v>329</v>
      </c>
      <c r="C122" s="78" t="s">
        <v>330</v>
      </c>
      <c r="D122" s="77">
        <v>0</v>
      </c>
      <c r="E122" s="77">
        <v>0</v>
      </c>
      <c r="F122" s="78">
        <v>0</v>
      </c>
      <c r="G122" s="77">
        <v>0</v>
      </c>
      <c r="H122" s="77">
        <f>H123+H131</f>
        <v>0</v>
      </c>
      <c r="I122" s="77">
        <f t="shared" ref="I122:S122" si="56">I123+I131</f>
        <v>0</v>
      </c>
      <c r="J122" s="77">
        <f t="shared" si="56"/>
        <v>1977307</v>
      </c>
      <c r="K122" s="77">
        <f t="shared" si="56"/>
        <v>2235240</v>
      </c>
      <c r="L122" s="77">
        <f t="shared" si="56"/>
        <v>863637.1</v>
      </c>
      <c r="M122" s="77">
        <f t="shared" si="56"/>
        <v>560529</v>
      </c>
      <c r="N122" s="77">
        <f t="shared" si="56"/>
        <v>0</v>
      </c>
      <c r="O122" s="77">
        <f t="shared" si="56"/>
        <v>0</v>
      </c>
      <c r="P122" s="77">
        <f t="shared" si="56"/>
        <v>0</v>
      </c>
      <c r="Q122" s="77">
        <f t="shared" si="56"/>
        <v>0</v>
      </c>
      <c r="R122" s="77">
        <f t="shared" si="56"/>
        <v>3566946.1</v>
      </c>
      <c r="S122" s="77">
        <f t="shared" si="56"/>
        <v>2795769</v>
      </c>
      <c r="T122" s="116"/>
      <c r="U122" s="116"/>
      <c r="V122" s="121"/>
    </row>
    <row r="123" spans="2:22" s="5" customFormat="1" ht="53.25" hidden="1" customHeight="1" x14ac:dyDescent="0.25">
      <c r="B123" s="117" t="s">
        <v>331</v>
      </c>
      <c r="C123" s="37" t="s">
        <v>332</v>
      </c>
      <c r="D123" s="117">
        <v>0</v>
      </c>
      <c r="E123" s="37">
        <v>0</v>
      </c>
      <c r="F123" s="117">
        <v>0</v>
      </c>
      <c r="G123" s="37">
        <v>0</v>
      </c>
      <c r="H123" s="117">
        <f t="shared" ref="H123:S123" si="57">H124+H127</f>
        <v>0</v>
      </c>
      <c r="I123" s="37">
        <f t="shared" si="57"/>
        <v>0</v>
      </c>
      <c r="J123" s="117">
        <f t="shared" si="57"/>
        <v>324706</v>
      </c>
      <c r="K123" s="37">
        <f t="shared" si="57"/>
        <v>830529</v>
      </c>
      <c r="L123" s="117">
        <f t="shared" si="57"/>
        <v>863637.1</v>
      </c>
      <c r="M123" s="37">
        <f t="shared" si="57"/>
        <v>560529</v>
      </c>
      <c r="N123" s="117">
        <f t="shared" si="57"/>
        <v>0</v>
      </c>
      <c r="O123" s="37">
        <f t="shared" si="57"/>
        <v>0</v>
      </c>
      <c r="P123" s="117">
        <f t="shared" si="57"/>
        <v>0</v>
      </c>
      <c r="Q123" s="37">
        <f t="shared" si="57"/>
        <v>0</v>
      </c>
      <c r="R123" s="117">
        <f t="shared" si="57"/>
        <v>1914345.1</v>
      </c>
      <c r="S123" s="37">
        <f t="shared" si="57"/>
        <v>1391058</v>
      </c>
      <c r="T123" s="116"/>
      <c r="U123" s="116"/>
      <c r="V123" s="121"/>
    </row>
    <row r="124" spans="2:22" s="5" customFormat="1" ht="51" hidden="1" x14ac:dyDescent="0.25">
      <c r="B124" s="60" t="s">
        <v>333</v>
      </c>
      <c r="C124" s="60" t="s">
        <v>334</v>
      </c>
      <c r="D124" s="60">
        <v>0</v>
      </c>
      <c r="E124" s="60">
        <v>0</v>
      </c>
      <c r="F124" s="60">
        <v>0</v>
      </c>
      <c r="G124" s="60">
        <v>0</v>
      </c>
      <c r="H124" s="60">
        <f t="shared" ref="H124:S124" si="58">SUM(H125:H126)</f>
        <v>0</v>
      </c>
      <c r="I124" s="60">
        <f t="shared" si="58"/>
        <v>0</v>
      </c>
      <c r="J124" s="60">
        <f t="shared" si="58"/>
        <v>0</v>
      </c>
      <c r="K124" s="60">
        <f t="shared" si="58"/>
        <v>0</v>
      </c>
      <c r="L124" s="60">
        <f t="shared" si="58"/>
        <v>863637.1</v>
      </c>
      <c r="M124" s="60">
        <f t="shared" si="58"/>
        <v>560529</v>
      </c>
      <c r="N124" s="60">
        <f t="shared" si="58"/>
        <v>0</v>
      </c>
      <c r="O124" s="60">
        <f t="shared" si="58"/>
        <v>0</v>
      </c>
      <c r="P124" s="60">
        <f t="shared" si="58"/>
        <v>0</v>
      </c>
      <c r="Q124" s="60">
        <f t="shared" si="58"/>
        <v>0</v>
      </c>
      <c r="R124" s="60">
        <f t="shared" si="58"/>
        <v>863637.1</v>
      </c>
      <c r="S124" s="60">
        <f t="shared" si="58"/>
        <v>560529</v>
      </c>
      <c r="T124" s="116"/>
      <c r="U124" s="116"/>
      <c r="V124" s="121"/>
    </row>
    <row r="125" spans="2:22" s="5" customFormat="1" ht="40.5" hidden="1" customHeight="1" x14ac:dyDescent="0.25">
      <c r="B125" s="88" t="s">
        <v>335</v>
      </c>
      <c r="C125" s="54" t="s">
        <v>336</v>
      </c>
      <c r="D125" s="59">
        <v>0</v>
      </c>
      <c r="E125" s="59">
        <v>0</v>
      </c>
      <c r="F125" s="59">
        <v>0</v>
      </c>
      <c r="G125" s="58">
        <v>0</v>
      </c>
      <c r="H125" s="58">
        <v>0</v>
      </c>
      <c r="I125" s="58">
        <v>0</v>
      </c>
      <c r="J125" s="58">
        <v>0</v>
      </c>
      <c r="K125" s="58">
        <v>0</v>
      </c>
      <c r="L125" s="58">
        <f>'2 lentelė'!L123</f>
        <v>249008</v>
      </c>
      <c r="M125" s="58">
        <f>'2 lentelė'!Q123</f>
        <v>174149</v>
      </c>
      <c r="N125" s="58">
        <v>0</v>
      </c>
      <c r="O125" s="58">
        <v>0</v>
      </c>
      <c r="P125" s="58">
        <v>0</v>
      </c>
      <c r="Q125" s="58">
        <v>0</v>
      </c>
      <c r="R125" s="58">
        <f>D125+F125+H125+J125+L125+N125+P125</f>
        <v>249008</v>
      </c>
      <c r="S125" s="58">
        <f>E125+G125+I125+K125+M125+O125+Q125</f>
        <v>174149</v>
      </c>
      <c r="T125" s="116"/>
      <c r="U125" s="116"/>
      <c r="V125" s="121"/>
    </row>
    <row r="126" spans="2:22" s="5" customFormat="1" ht="51" hidden="1" x14ac:dyDescent="0.25">
      <c r="B126" s="88" t="s">
        <v>337</v>
      </c>
      <c r="C126" s="54" t="s">
        <v>338</v>
      </c>
      <c r="D126" s="59">
        <v>0</v>
      </c>
      <c r="E126" s="59">
        <v>0</v>
      </c>
      <c r="F126" s="59">
        <v>0</v>
      </c>
      <c r="G126" s="58">
        <v>0</v>
      </c>
      <c r="H126" s="58">
        <v>0</v>
      </c>
      <c r="I126" s="58">
        <v>0</v>
      </c>
      <c r="J126" s="58">
        <v>0</v>
      </c>
      <c r="K126" s="58">
        <v>0</v>
      </c>
      <c r="L126" s="58">
        <f>'2 lentelė'!L124</f>
        <v>614629.1</v>
      </c>
      <c r="M126" s="58">
        <f>'2 lentelė'!Q124</f>
        <v>386380</v>
      </c>
      <c r="N126" s="58">
        <v>0</v>
      </c>
      <c r="O126" s="58">
        <v>0</v>
      </c>
      <c r="P126" s="58">
        <v>0</v>
      </c>
      <c r="Q126" s="58">
        <v>0</v>
      </c>
      <c r="R126" s="58">
        <f>D126+F126+H126+J126+L126+N126+P126</f>
        <v>614629.1</v>
      </c>
      <c r="S126" s="58">
        <f>E126+G126+I126+K126+M126+O126+Q126</f>
        <v>386380</v>
      </c>
      <c r="T126" s="116"/>
      <c r="U126" s="116"/>
      <c r="V126" s="121"/>
    </row>
    <row r="127" spans="2:22" s="5" customFormat="1" ht="38.25" hidden="1" x14ac:dyDescent="0.25">
      <c r="B127" s="60" t="s">
        <v>339</v>
      </c>
      <c r="C127" s="60" t="s">
        <v>340</v>
      </c>
      <c r="D127" s="60">
        <v>0</v>
      </c>
      <c r="E127" s="60">
        <v>0</v>
      </c>
      <c r="F127" s="60">
        <v>0</v>
      </c>
      <c r="G127" s="60">
        <v>0</v>
      </c>
      <c r="H127" s="60">
        <f>SUM(H128:H128)</f>
        <v>0</v>
      </c>
      <c r="I127" s="60">
        <f>SUM(I128:I128)</f>
        <v>0</v>
      </c>
      <c r="J127" s="60">
        <f>SUM(J128:J128)</f>
        <v>324706</v>
      </c>
      <c r="K127" s="60">
        <f>SUM(K128:K130)</f>
        <v>830529</v>
      </c>
      <c r="L127" s="60">
        <f t="shared" ref="L127:S127" si="59">SUM(L128:L130)</f>
        <v>0</v>
      </c>
      <c r="M127" s="60">
        <f t="shared" si="59"/>
        <v>0</v>
      </c>
      <c r="N127" s="60">
        <f t="shared" si="59"/>
        <v>0</v>
      </c>
      <c r="O127" s="60">
        <f t="shared" si="59"/>
        <v>0</v>
      </c>
      <c r="P127" s="60">
        <f t="shared" si="59"/>
        <v>0</v>
      </c>
      <c r="Q127" s="60">
        <f t="shared" si="59"/>
        <v>0</v>
      </c>
      <c r="R127" s="60">
        <f t="shared" si="59"/>
        <v>1050708</v>
      </c>
      <c r="S127" s="60">
        <f t="shared" si="59"/>
        <v>830529</v>
      </c>
      <c r="T127" s="116"/>
      <c r="U127" s="116"/>
      <c r="V127" s="121"/>
    </row>
    <row r="128" spans="2:22" s="5" customFormat="1" ht="78" hidden="1" customHeight="1" x14ac:dyDescent="0.25">
      <c r="B128" s="88" t="s">
        <v>341</v>
      </c>
      <c r="C128" s="54" t="s">
        <v>342</v>
      </c>
      <c r="D128" s="59">
        <v>0</v>
      </c>
      <c r="E128" s="59">
        <v>0</v>
      </c>
      <c r="F128" s="59">
        <v>0</v>
      </c>
      <c r="G128" s="58">
        <v>0</v>
      </c>
      <c r="H128" s="58">
        <v>0</v>
      </c>
      <c r="I128" s="58">
        <v>0</v>
      </c>
      <c r="J128" s="58">
        <f>'2 lentelė'!L126</f>
        <v>324706</v>
      </c>
      <c r="K128" s="58">
        <f>'2 lentelė'!Q126</f>
        <v>276000</v>
      </c>
      <c r="L128" s="58">
        <v>0</v>
      </c>
      <c r="M128" s="58">
        <v>0</v>
      </c>
      <c r="N128" s="58">
        <v>0</v>
      </c>
      <c r="O128" s="58">
        <v>0</v>
      </c>
      <c r="P128" s="58">
        <v>0</v>
      </c>
      <c r="Q128" s="58">
        <v>0</v>
      </c>
      <c r="R128" s="58">
        <f t="shared" ref="R128:S130" si="60">D128+F128+H128+J128+L128+N128+P128</f>
        <v>324706</v>
      </c>
      <c r="S128" s="58">
        <f t="shared" si="60"/>
        <v>276000</v>
      </c>
      <c r="T128" s="116"/>
      <c r="U128" s="116"/>
      <c r="V128" s="121"/>
    </row>
    <row r="129" spans="2:22" s="5" customFormat="1" ht="63.75" hidden="1" x14ac:dyDescent="0.25">
      <c r="B129" s="88" t="s">
        <v>343</v>
      </c>
      <c r="C129" s="54" t="s">
        <v>344</v>
      </c>
      <c r="D129" s="59">
        <v>0</v>
      </c>
      <c r="E129" s="59">
        <v>0</v>
      </c>
      <c r="F129" s="59">
        <v>0</v>
      </c>
      <c r="G129" s="58">
        <v>0</v>
      </c>
      <c r="H129" s="58">
        <v>0</v>
      </c>
      <c r="I129" s="58">
        <v>0</v>
      </c>
      <c r="J129" s="58">
        <f>'2 lentelė'!L127</f>
        <v>363001</v>
      </c>
      <c r="K129" s="58">
        <f>'2 lentelė'!Q127</f>
        <v>282125</v>
      </c>
      <c r="L129" s="58">
        <v>0</v>
      </c>
      <c r="M129" s="58">
        <v>0</v>
      </c>
      <c r="N129" s="58">
        <v>0</v>
      </c>
      <c r="O129" s="58">
        <v>0</v>
      </c>
      <c r="P129" s="58">
        <v>0</v>
      </c>
      <c r="Q129" s="58">
        <v>0</v>
      </c>
      <c r="R129" s="58">
        <f t="shared" si="60"/>
        <v>363001</v>
      </c>
      <c r="S129" s="58">
        <f t="shared" si="60"/>
        <v>282125</v>
      </c>
      <c r="T129" s="116"/>
      <c r="U129" s="116"/>
      <c r="V129" s="121"/>
    </row>
    <row r="130" spans="2:22" s="5" customFormat="1" ht="51" hidden="1" x14ac:dyDescent="0.25">
      <c r="B130" s="88" t="s">
        <v>345</v>
      </c>
      <c r="C130" s="54" t="s">
        <v>346</v>
      </c>
      <c r="D130" s="59">
        <v>0</v>
      </c>
      <c r="E130" s="59">
        <v>0</v>
      </c>
      <c r="F130" s="59">
        <v>0</v>
      </c>
      <c r="G130" s="58">
        <v>0</v>
      </c>
      <c r="H130" s="58">
        <v>0</v>
      </c>
      <c r="I130" s="58">
        <v>0</v>
      </c>
      <c r="J130" s="58">
        <f>'2 lentelė'!L128</f>
        <v>363001</v>
      </c>
      <c r="K130" s="58">
        <f>'2 lentelė'!Q128</f>
        <v>272404</v>
      </c>
      <c r="L130" s="58">
        <v>0</v>
      </c>
      <c r="M130" s="58">
        <v>0</v>
      </c>
      <c r="N130" s="58">
        <v>0</v>
      </c>
      <c r="O130" s="58">
        <v>0</v>
      </c>
      <c r="P130" s="58">
        <v>0</v>
      </c>
      <c r="Q130" s="58">
        <v>0</v>
      </c>
      <c r="R130" s="58">
        <f t="shared" si="60"/>
        <v>363001</v>
      </c>
      <c r="S130" s="58">
        <f t="shared" si="60"/>
        <v>272404</v>
      </c>
      <c r="T130" s="116"/>
      <c r="U130" s="116"/>
      <c r="V130" s="121"/>
    </row>
    <row r="131" spans="2:22" s="5" customFormat="1" ht="38.25" hidden="1" x14ac:dyDescent="0.25">
      <c r="B131" s="117" t="s">
        <v>347</v>
      </c>
      <c r="C131" s="37" t="s">
        <v>348</v>
      </c>
      <c r="D131" s="117">
        <v>0</v>
      </c>
      <c r="E131" s="117">
        <v>0</v>
      </c>
      <c r="F131" s="37">
        <v>0</v>
      </c>
      <c r="G131" s="117">
        <v>0</v>
      </c>
      <c r="H131" s="117">
        <f>SUM(H132)</f>
        <v>0</v>
      </c>
      <c r="I131" s="37">
        <f t="shared" ref="I131:S131" si="61">SUM(I132)</f>
        <v>0</v>
      </c>
      <c r="J131" s="117">
        <f t="shared" si="61"/>
        <v>1652601</v>
      </c>
      <c r="K131" s="117">
        <f t="shared" si="61"/>
        <v>1404711</v>
      </c>
      <c r="L131" s="37">
        <f t="shared" si="61"/>
        <v>0</v>
      </c>
      <c r="M131" s="117">
        <f t="shared" si="61"/>
        <v>0</v>
      </c>
      <c r="N131" s="117">
        <f t="shared" si="61"/>
        <v>0</v>
      </c>
      <c r="O131" s="37">
        <f t="shared" si="61"/>
        <v>0</v>
      </c>
      <c r="P131" s="117">
        <f t="shared" si="61"/>
        <v>0</v>
      </c>
      <c r="Q131" s="117">
        <f t="shared" si="61"/>
        <v>0</v>
      </c>
      <c r="R131" s="37">
        <f t="shared" si="61"/>
        <v>1652601</v>
      </c>
      <c r="S131" s="117">
        <f t="shared" si="61"/>
        <v>1404711</v>
      </c>
      <c r="T131" s="116"/>
      <c r="U131" s="116"/>
      <c r="V131" s="121"/>
    </row>
    <row r="132" spans="2:22" s="5" customFormat="1" ht="38.25" hidden="1" x14ac:dyDescent="0.25">
      <c r="B132" s="60" t="s">
        <v>349</v>
      </c>
      <c r="C132" s="60" t="s">
        <v>350</v>
      </c>
      <c r="D132" s="60">
        <v>0</v>
      </c>
      <c r="E132" s="60">
        <v>0</v>
      </c>
      <c r="F132" s="60">
        <v>0</v>
      </c>
      <c r="G132" s="60">
        <v>0</v>
      </c>
      <c r="H132" s="60">
        <f>SUM(H133:H134)</f>
        <v>0</v>
      </c>
      <c r="I132" s="60">
        <f t="shared" ref="I132:S132" si="62">SUM(I133:I134)</f>
        <v>0</v>
      </c>
      <c r="J132" s="60">
        <f t="shared" si="62"/>
        <v>1652601</v>
      </c>
      <c r="K132" s="60">
        <f t="shared" si="62"/>
        <v>1404711</v>
      </c>
      <c r="L132" s="60">
        <f>SUM(L133:L134)</f>
        <v>0</v>
      </c>
      <c r="M132" s="60">
        <f t="shared" si="62"/>
        <v>0</v>
      </c>
      <c r="N132" s="60">
        <f t="shared" si="62"/>
        <v>0</v>
      </c>
      <c r="O132" s="60">
        <f t="shared" si="62"/>
        <v>0</v>
      </c>
      <c r="P132" s="60">
        <f t="shared" si="62"/>
        <v>0</v>
      </c>
      <c r="Q132" s="60">
        <f t="shared" si="62"/>
        <v>0</v>
      </c>
      <c r="R132" s="60">
        <f t="shared" si="62"/>
        <v>1652601</v>
      </c>
      <c r="S132" s="60">
        <f t="shared" si="62"/>
        <v>1404711</v>
      </c>
      <c r="T132" s="116"/>
      <c r="U132" s="116"/>
      <c r="V132" s="121"/>
    </row>
    <row r="133" spans="2:22" s="5" customFormat="1" ht="109.5" hidden="1" customHeight="1" x14ac:dyDescent="0.25">
      <c r="B133" s="88" t="s">
        <v>351</v>
      </c>
      <c r="C133" s="54" t="s">
        <v>352</v>
      </c>
      <c r="D133" s="59">
        <v>0</v>
      </c>
      <c r="E133" s="59">
        <v>0</v>
      </c>
      <c r="F133" s="59">
        <v>0</v>
      </c>
      <c r="G133" s="58">
        <v>0</v>
      </c>
      <c r="H133" s="58">
        <v>0</v>
      </c>
      <c r="I133" s="58">
        <v>0</v>
      </c>
      <c r="J133" s="58">
        <f>'2 lentelė'!L131</f>
        <v>320627</v>
      </c>
      <c r="K133" s="58">
        <f>'2 lentelė'!Q131</f>
        <v>272533</v>
      </c>
      <c r="L133" s="58">
        <v>0</v>
      </c>
      <c r="M133" s="58">
        <v>0</v>
      </c>
      <c r="N133" s="58">
        <v>0</v>
      </c>
      <c r="O133" s="58">
        <v>0</v>
      </c>
      <c r="P133" s="58">
        <v>0</v>
      </c>
      <c r="Q133" s="58">
        <v>0</v>
      </c>
      <c r="R133" s="58">
        <f>D133+F133+H133+J133+L133+N133+P133</f>
        <v>320627</v>
      </c>
      <c r="S133" s="58">
        <f>E133+G133+I133+K133+M133+O133+Q133</f>
        <v>272533</v>
      </c>
      <c r="T133" s="116"/>
      <c r="U133" s="116"/>
      <c r="V133" s="121"/>
    </row>
    <row r="134" spans="2:22" s="5" customFormat="1" ht="25.5" hidden="1" x14ac:dyDescent="0.25">
      <c r="B134" s="88" t="s">
        <v>353</v>
      </c>
      <c r="C134" s="54" t="s">
        <v>354</v>
      </c>
      <c r="D134" s="59">
        <v>0</v>
      </c>
      <c r="E134" s="59">
        <v>0</v>
      </c>
      <c r="F134" s="59">
        <v>0</v>
      </c>
      <c r="G134" s="58">
        <v>0</v>
      </c>
      <c r="H134" s="58">
        <v>0</v>
      </c>
      <c r="I134" s="58">
        <v>0</v>
      </c>
      <c r="J134" s="58">
        <f>'2 lentelė'!L132</f>
        <v>1331974</v>
      </c>
      <c r="K134" s="58">
        <f>'2 lentelė'!Q132</f>
        <v>1132178</v>
      </c>
      <c r="L134" s="58">
        <v>0</v>
      </c>
      <c r="M134" s="58">
        <v>0</v>
      </c>
      <c r="N134" s="58">
        <v>0</v>
      </c>
      <c r="O134" s="58">
        <v>0</v>
      </c>
      <c r="P134" s="58">
        <v>0</v>
      </c>
      <c r="Q134" s="58">
        <v>0</v>
      </c>
      <c r="R134" s="58">
        <f>D134+F134+H134+J134+L134+N134+P134</f>
        <v>1331974</v>
      </c>
      <c r="S134" s="58">
        <f>E134+G134+I134+K134+M134+O134+Q134</f>
        <v>1132178</v>
      </c>
      <c r="T134" s="116"/>
      <c r="U134" s="116"/>
      <c r="V134" s="121"/>
    </row>
    <row r="135" spans="2:22" s="5" customFormat="1" ht="38.25" hidden="1" x14ac:dyDescent="0.25">
      <c r="B135" s="77" t="s">
        <v>355</v>
      </c>
      <c r="C135" s="78" t="s">
        <v>356</v>
      </c>
      <c r="D135" s="77">
        <f>D136+D153+ D161+D174+D182</f>
        <v>0</v>
      </c>
      <c r="E135" s="77">
        <f t="shared" ref="E135:S135" si="63">E136+E153+ E161+E174+E182</f>
        <v>0</v>
      </c>
      <c r="F135" s="77">
        <f t="shared" si="63"/>
        <v>0</v>
      </c>
      <c r="G135" s="77">
        <f t="shared" si="63"/>
        <v>0</v>
      </c>
      <c r="H135" s="77">
        <f t="shared" si="63"/>
        <v>2153660.5</v>
      </c>
      <c r="I135" s="77">
        <f t="shared" si="63"/>
        <v>1830610.27</v>
      </c>
      <c r="J135" s="77">
        <f t="shared" si="63"/>
        <v>6381814.46</v>
      </c>
      <c r="K135" s="77">
        <f t="shared" si="63"/>
        <v>5526923.71</v>
      </c>
      <c r="L135" s="77">
        <f t="shared" si="63"/>
        <v>3705666.74</v>
      </c>
      <c r="M135" s="77">
        <f t="shared" si="63"/>
        <v>2732343.5100000002</v>
      </c>
      <c r="N135" s="77">
        <f t="shared" si="63"/>
        <v>711083.31</v>
      </c>
      <c r="O135" s="77">
        <f t="shared" si="63"/>
        <v>601242.05000000005</v>
      </c>
      <c r="P135" s="77">
        <f t="shared" si="63"/>
        <v>0</v>
      </c>
      <c r="Q135" s="77">
        <f t="shared" si="63"/>
        <v>0</v>
      </c>
      <c r="R135" s="77">
        <f t="shared" si="63"/>
        <v>13216147.890000001</v>
      </c>
      <c r="S135" s="77">
        <f t="shared" si="63"/>
        <v>10691119.539999999</v>
      </c>
      <c r="T135" s="116"/>
      <c r="U135" s="116"/>
      <c r="V135" s="121"/>
    </row>
    <row r="136" spans="2:22" s="5" customFormat="1" ht="44.25" hidden="1" customHeight="1" x14ac:dyDescent="0.25">
      <c r="B136" s="117" t="s">
        <v>357</v>
      </c>
      <c r="C136" s="37" t="s">
        <v>358</v>
      </c>
      <c r="D136" s="117">
        <f>D137+D146</f>
        <v>0</v>
      </c>
      <c r="E136" s="117">
        <f t="shared" ref="E136:S136" si="64">E137+E146</f>
        <v>0</v>
      </c>
      <c r="F136" s="117">
        <f t="shared" si="64"/>
        <v>0</v>
      </c>
      <c r="G136" s="117">
        <f t="shared" si="64"/>
        <v>0</v>
      </c>
      <c r="H136" s="117">
        <f t="shared" si="64"/>
        <v>0</v>
      </c>
      <c r="I136" s="117">
        <f t="shared" si="64"/>
        <v>0</v>
      </c>
      <c r="J136" s="117">
        <f t="shared" si="64"/>
        <v>0</v>
      </c>
      <c r="K136" s="117">
        <f t="shared" si="64"/>
        <v>0</v>
      </c>
      <c r="L136" s="117">
        <f t="shared" si="64"/>
        <v>914177.3</v>
      </c>
      <c r="M136" s="117">
        <f t="shared" si="64"/>
        <v>611685.87</v>
      </c>
      <c r="N136" s="117">
        <f t="shared" si="64"/>
        <v>641083.31000000006</v>
      </c>
      <c r="O136" s="117">
        <f t="shared" si="64"/>
        <v>541742.05000000005</v>
      </c>
      <c r="P136" s="117">
        <f t="shared" si="64"/>
        <v>0</v>
      </c>
      <c r="Q136" s="117">
        <f t="shared" si="64"/>
        <v>0</v>
      </c>
      <c r="R136" s="117">
        <f t="shared" si="64"/>
        <v>1555260.61</v>
      </c>
      <c r="S136" s="117">
        <f t="shared" si="64"/>
        <v>1153427.9200000002</v>
      </c>
      <c r="T136" s="116"/>
      <c r="U136" s="116"/>
      <c r="V136" s="121"/>
    </row>
    <row r="137" spans="2:22" s="5" customFormat="1" ht="63.75" hidden="1" x14ac:dyDescent="0.25">
      <c r="B137" s="60" t="s">
        <v>359</v>
      </c>
      <c r="C137" s="60" t="s">
        <v>360</v>
      </c>
      <c r="D137" s="60">
        <v>0</v>
      </c>
      <c r="E137" s="60">
        <v>0</v>
      </c>
      <c r="F137" s="60">
        <v>0</v>
      </c>
      <c r="G137" s="60">
        <v>0</v>
      </c>
      <c r="H137" s="60">
        <v>0</v>
      </c>
      <c r="I137" s="60">
        <v>0</v>
      </c>
      <c r="J137" s="60">
        <v>0</v>
      </c>
      <c r="K137" s="60">
        <v>0</v>
      </c>
      <c r="L137" s="127">
        <f>L138+L139+L140+L141+L142+L143+L144+L145</f>
        <v>678275.73</v>
      </c>
      <c r="M137" s="127">
        <f t="shared" ref="M137:S137" si="65">M138+M139+M140+M141+M142+M143+M144+M145</f>
        <v>576535.25</v>
      </c>
      <c r="N137" s="127">
        <f t="shared" si="65"/>
        <v>641083.31000000006</v>
      </c>
      <c r="O137" s="127">
        <f t="shared" si="65"/>
        <v>541742.05000000005</v>
      </c>
      <c r="P137" s="127">
        <f t="shared" si="65"/>
        <v>0</v>
      </c>
      <c r="Q137" s="127">
        <f t="shared" si="65"/>
        <v>0</v>
      </c>
      <c r="R137" s="127">
        <f t="shared" si="65"/>
        <v>1319359.04</v>
      </c>
      <c r="S137" s="127">
        <f t="shared" si="65"/>
        <v>1118277.3</v>
      </c>
      <c r="T137" s="116">
        <v>1148819</v>
      </c>
      <c r="U137" s="124">
        <f>T137-S137</f>
        <v>30541.699999999953</v>
      </c>
      <c r="V137" s="121"/>
    </row>
    <row r="138" spans="2:22" s="5" customFormat="1" ht="94.5" hidden="1" customHeight="1" x14ac:dyDescent="0.25">
      <c r="B138" s="54" t="s">
        <v>973</v>
      </c>
      <c r="C138" s="54" t="s">
        <v>985</v>
      </c>
      <c r="D138" s="54">
        <v>0</v>
      </c>
      <c r="E138" s="54">
        <v>0</v>
      </c>
      <c r="F138" s="54">
        <v>0</v>
      </c>
      <c r="G138" s="54">
        <v>0</v>
      </c>
      <c r="H138" s="54">
        <v>0</v>
      </c>
      <c r="I138" s="54">
        <v>0</v>
      </c>
      <c r="J138" s="54">
        <v>0</v>
      </c>
      <c r="K138" s="54">
        <v>0</v>
      </c>
      <c r="L138" s="54">
        <f>'2 lentelė'!L136</f>
        <v>246940.54</v>
      </c>
      <c r="M138" s="54">
        <f>'2 lentelė'!Q136</f>
        <v>209899.44</v>
      </c>
      <c r="N138" s="54">
        <v>0</v>
      </c>
      <c r="O138" s="54">
        <v>0</v>
      </c>
      <c r="P138" s="54">
        <v>0</v>
      </c>
      <c r="Q138" s="54">
        <v>0</v>
      </c>
      <c r="R138" s="54">
        <f t="shared" ref="R138:S144" si="66">L138+N138+P138</f>
        <v>246940.54</v>
      </c>
      <c r="S138" s="54">
        <f t="shared" si="66"/>
        <v>209899.44</v>
      </c>
      <c r="T138" s="116"/>
      <c r="U138" s="116"/>
      <c r="V138" s="121"/>
    </row>
    <row r="139" spans="2:22" s="5" customFormat="1" ht="57.75" hidden="1" customHeight="1" x14ac:dyDescent="0.25">
      <c r="B139" s="54" t="s">
        <v>974</v>
      </c>
      <c r="C139" s="54" t="s">
        <v>991</v>
      </c>
      <c r="D139" s="54">
        <v>0</v>
      </c>
      <c r="E139" s="54">
        <v>0</v>
      </c>
      <c r="F139" s="54">
        <v>0</v>
      </c>
      <c r="G139" s="54">
        <v>0</v>
      </c>
      <c r="H139" s="54">
        <v>0</v>
      </c>
      <c r="I139" s="54">
        <v>0</v>
      </c>
      <c r="J139" s="54">
        <v>0</v>
      </c>
      <c r="K139" s="54">
        <v>0</v>
      </c>
      <c r="L139" s="54">
        <v>0</v>
      </c>
      <c r="M139" s="54">
        <v>0</v>
      </c>
      <c r="N139" s="54">
        <f>'2 lentelė'!L137</f>
        <v>112739.46</v>
      </c>
      <c r="O139" s="54">
        <f>'2 lentelė'!Q137</f>
        <v>95828.54</v>
      </c>
      <c r="P139" s="54">
        <v>0</v>
      </c>
      <c r="Q139" s="54">
        <v>0</v>
      </c>
      <c r="R139" s="54">
        <f t="shared" si="66"/>
        <v>112739.46</v>
      </c>
      <c r="S139" s="54">
        <f t="shared" si="66"/>
        <v>95828.54</v>
      </c>
      <c r="T139" s="116"/>
      <c r="U139" s="116"/>
      <c r="V139" s="121"/>
    </row>
    <row r="140" spans="2:22" s="5" customFormat="1" ht="96" hidden="1" customHeight="1" x14ac:dyDescent="0.25">
      <c r="B140" s="54" t="s">
        <v>975</v>
      </c>
      <c r="C140" s="54" t="s">
        <v>994</v>
      </c>
      <c r="D140" s="54">
        <v>0</v>
      </c>
      <c r="E140" s="54">
        <v>0</v>
      </c>
      <c r="F140" s="54">
        <v>0</v>
      </c>
      <c r="G140" s="54">
        <v>0</v>
      </c>
      <c r="H140" s="54">
        <v>0</v>
      </c>
      <c r="I140" s="54">
        <v>0</v>
      </c>
      <c r="J140" s="54">
        <v>0</v>
      </c>
      <c r="K140" s="54">
        <v>0</v>
      </c>
      <c r="L140" s="54">
        <f>'2 lentelė'!L138</f>
        <v>95269.19</v>
      </c>
      <c r="M140" s="54">
        <f>'2 lentelė'!Q138</f>
        <v>80978.81</v>
      </c>
      <c r="N140" s="54">
        <v>0</v>
      </c>
      <c r="O140" s="54">
        <v>0</v>
      </c>
      <c r="P140" s="54">
        <v>0</v>
      </c>
      <c r="Q140" s="54">
        <v>0</v>
      </c>
      <c r="R140" s="54">
        <f t="shared" si="66"/>
        <v>95269.19</v>
      </c>
      <c r="S140" s="54">
        <f t="shared" si="66"/>
        <v>80978.81</v>
      </c>
      <c r="T140" s="116"/>
      <c r="U140" s="116"/>
      <c r="V140" s="121"/>
    </row>
    <row r="141" spans="2:22" s="5" customFormat="1" ht="60.75" hidden="1" customHeight="1" x14ac:dyDescent="0.25">
      <c r="B141" s="54" t="s">
        <v>976</v>
      </c>
      <c r="C141" s="54" t="s">
        <v>996</v>
      </c>
      <c r="D141" s="54">
        <v>0</v>
      </c>
      <c r="E141" s="54">
        <v>0</v>
      </c>
      <c r="F141" s="54">
        <v>0</v>
      </c>
      <c r="G141" s="54">
        <v>0</v>
      </c>
      <c r="H141" s="54">
        <v>0</v>
      </c>
      <c r="I141" s="54">
        <v>0</v>
      </c>
      <c r="J141" s="54">
        <v>0</v>
      </c>
      <c r="K141" s="54">
        <v>0</v>
      </c>
      <c r="L141" s="62">
        <f>'2 lentelė'!L139</f>
        <v>182486</v>
      </c>
      <c r="M141" s="62">
        <f>'2 lentelė'!Q139</f>
        <v>155114</v>
      </c>
      <c r="N141" s="54">
        <v>0</v>
      </c>
      <c r="O141" s="54">
        <v>0</v>
      </c>
      <c r="P141" s="54">
        <v>0</v>
      </c>
      <c r="Q141" s="54">
        <v>0</v>
      </c>
      <c r="R141" s="54">
        <f t="shared" si="66"/>
        <v>182486</v>
      </c>
      <c r="S141" s="54">
        <f t="shared" si="66"/>
        <v>155114</v>
      </c>
      <c r="T141" s="116"/>
      <c r="U141" s="116"/>
      <c r="V141" s="121"/>
    </row>
    <row r="142" spans="2:22" s="5" customFormat="1" ht="49.5" hidden="1" customHeight="1" x14ac:dyDescent="0.25">
      <c r="B142" s="54" t="s">
        <v>977</v>
      </c>
      <c r="C142" s="54" t="s">
        <v>998</v>
      </c>
      <c r="D142" s="54">
        <v>0</v>
      </c>
      <c r="E142" s="54">
        <v>0</v>
      </c>
      <c r="F142" s="54">
        <v>0</v>
      </c>
      <c r="G142" s="54">
        <v>0</v>
      </c>
      <c r="H142" s="54">
        <v>0</v>
      </c>
      <c r="I142" s="54">
        <v>0</v>
      </c>
      <c r="J142" s="54">
        <v>0</v>
      </c>
      <c r="K142" s="54">
        <v>0</v>
      </c>
      <c r="L142" s="54">
        <v>0</v>
      </c>
      <c r="M142" s="54">
        <v>0</v>
      </c>
      <c r="N142" s="54">
        <f>'2 lentelė'!L140</f>
        <v>294117.65000000002</v>
      </c>
      <c r="O142" s="62">
        <f>'2 lentelė'!Q140</f>
        <v>250000</v>
      </c>
      <c r="P142" s="54">
        <v>0</v>
      </c>
      <c r="Q142" s="54">
        <v>0</v>
      </c>
      <c r="R142" s="54">
        <f t="shared" si="66"/>
        <v>294117.65000000002</v>
      </c>
      <c r="S142" s="54">
        <f t="shared" si="66"/>
        <v>250000</v>
      </c>
      <c r="T142" s="116"/>
      <c r="U142" s="116"/>
      <c r="V142" s="121"/>
    </row>
    <row r="143" spans="2:22" s="5" customFormat="1" ht="49.5" hidden="1" customHeight="1" x14ac:dyDescent="0.25">
      <c r="B143" s="54" t="s">
        <v>978</v>
      </c>
      <c r="C143" s="54" t="s">
        <v>1001</v>
      </c>
      <c r="D143" s="54">
        <v>0</v>
      </c>
      <c r="E143" s="54">
        <v>0</v>
      </c>
      <c r="F143" s="54">
        <v>0</v>
      </c>
      <c r="G143" s="54">
        <v>0</v>
      </c>
      <c r="H143" s="54">
        <v>0</v>
      </c>
      <c r="I143" s="54">
        <v>0</v>
      </c>
      <c r="J143" s="54">
        <v>0</v>
      </c>
      <c r="K143" s="54">
        <v>0</v>
      </c>
      <c r="L143" s="54">
        <v>0</v>
      </c>
      <c r="M143" s="54">
        <v>0</v>
      </c>
      <c r="N143" s="62">
        <f>'2 lentelė'!L141</f>
        <v>34226.199999999997</v>
      </c>
      <c r="O143" s="62">
        <f>'2 lentelė'!Q141</f>
        <v>25913.51</v>
      </c>
      <c r="P143" s="54">
        <v>0</v>
      </c>
      <c r="Q143" s="54">
        <v>0</v>
      </c>
      <c r="R143" s="54">
        <f t="shared" si="66"/>
        <v>34226.199999999997</v>
      </c>
      <c r="S143" s="54">
        <f t="shared" si="66"/>
        <v>25913.51</v>
      </c>
      <c r="T143" s="116"/>
      <c r="U143" s="116"/>
      <c r="V143" s="121"/>
    </row>
    <row r="144" spans="2:22" s="5" customFormat="1" ht="78.75" hidden="1" customHeight="1" x14ac:dyDescent="0.25">
      <c r="B144" s="54" t="s">
        <v>999</v>
      </c>
      <c r="C144" s="54" t="s">
        <v>1003</v>
      </c>
      <c r="D144" s="54">
        <v>0</v>
      </c>
      <c r="E144" s="54">
        <v>0</v>
      </c>
      <c r="F144" s="54">
        <v>0</v>
      </c>
      <c r="G144" s="54">
        <v>0</v>
      </c>
      <c r="H144" s="54">
        <v>0</v>
      </c>
      <c r="I144" s="54">
        <v>0</v>
      </c>
      <c r="J144" s="54">
        <v>0</v>
      </c>
      <c r="K144" s="54">
        <v>0</v>
      </c>
      <c r="L144" s="62">
        <f>'2 lentelė'!L142</f>
        <v>153580</v>
      </c>
      <c r="M144" s="62">
        <f>'2 lentelė'!Q142</f>
        <v>130543</v>
      </c>
      <c r="N144" s="54">
        <v>0</v>
      </c>
      <c r="O144" s="63">
        <v>0</v>
      </c>
      <c r="P144" s="54">
        <v>0</v>
      </c>
      <c r="Q144" s="54">
        <v>0</v>
      </c>
      <c r="R144" s="54">
        <f t="shared" si="66"/>
        <v>153580</v>
      </c>
      <c r="S144" s="54">
        <f t="shared" si="66"/>
        <v>130543</v>
      </c>
      <c r="T144" s="116"/>
      <c r="U144" s="116"/>
      <c r="V144" s="121"/>
    </row>
    <row r="145" spans="2:25" s="5" customFormat="1" ht="59.25" hidden="1" customHeight="1" x14ac:dyDescent="0.25">
      <c r="B145" s="54" t="s">
        <v>1000</v>
      </c>
      <c r="C145" s="54" t="s">
        <v>1009</v>
      </c>
      <c r="D145" s="54">
        <v>0</v>
      </c>
      <c r="E145" s="54">
        <v>0</v>
      </c>
      <c r="F145" s="54">
        <v>0</v>
      </c>
      <c r="G145" s="54">
        <v>0</v>
      </c>
      <c r="H145" s="54">
        <v>0</v>
      </c>
      <c r="I145" s="54">
        <v>0</v>
      </c>
      <c r="J145" s="54">
        <v>0</v>
      </c>
      <c r="K145" s="54">
        <v>0</v>
      </c>
      <c r="L145" s="62">
        <v>0</v>
      </c>
      <c r="M145" s="62">
        <v>0</v>
      </c>
      <c r="N145" s="62">
        <f>'2 lentelė'!L143</f>
        <v>200000</v>
      </c>
      <c r="O145" s="54">
        <f>'2 lentelė'!Q143</f>
        <v>170000</v>
      </c>
      <c r="P145" s="54">
        <v>0</v>
      </c>
      <c r="Q145" s="54">
        <v>0</v>
      </c>
      <c r="R145" s="54">
        <f t="shared" ref="R145" si="67">L145+N145+P145</f>
        <v>200000</v>
      </c>
      <c r="S145" s="54">
        <f t="shared" ref="S145" si="68">M145+O145+Q145</f>
        <v>170000</v>
      </c>
      <c r="T145" s="116"/>
      <c r="U145" s="116"/>
      <c r="V145" s="121"/>
    </row>
    <row r="146" spans="2:25" s="5" customFormat="1" ht="102" hidden="1" x14ac:dyDescent="0.25">
      <c r="B146" s="60" t="s">
        <v>361</v>
      </c>
      <c r="C146" s="60" t="s">
        <v>362</v>
      </c>
      <c r="D146" s="60">
        <f>SUM(D147:D152)</f>
        <v>0</v>
      </c>
      <c r="E146" s="60">
        <f t="shared" ref="E146:S146" si="69">SUM(E147:E152)</f>
        <v>0</v>
      </c>
      <c r="F146" s="60">
        <f t="shared" si="69"/>
        <v>0</v>
      </c>
      <c r="G146" s="60">
        <f t="shared" si="69"/>
        <v>0</v>
      </c>
      <c r="H146" s="60">
        <f t="shared" si="69"/>
        <v>0</v>
      </c>
      <c r="I146" s="60">
        <f t="shared" si="69"/>
        <v>0</v>
      </c>
      <c r="J146" s="60">
        <f t="shared" si="69"/>
        <v>0</v>
      </c>
      <c r="K146" s="60">
        <f t="shared" si="69"/>
        <v>0</v>
      </c>
      <c r="L146" s="60">
        <f>SUM(L147:L152)</f>
        <v>235901.57</v>
      </c>
      <c r="M146" s="60">
        <f t="shared" si="69"/>
        <v>35150.620000000003</v>
      </c>
      <c r="N146" s="60">
        <f t="shared" si="69"/>
        <v>0</v>
      </c>
      <c r="O146" s="60">
        <f t="shared" si="69"/>
        <v>0</v>
      </c>
      <c r="P146" s="60">
        <f t="shared" si="69"/>
        <v>0</v>
      </c>
      <c r="Q146" s="60">
        <f t="shared" si="69"/>
        <v>0</v>
      </c>
      <c r="R146" s="60">
        <f t="shared" si="69"/>
        <v>235901.57</v>
      </c>
      <c r="S146" s="60">
        <f t="shared" si="69"/>
        <v>35150.620000000003</v>
      </c>
      <c r="T146" s="116"/>
      <c r="U146" s="116"/>
      <c r="V146" s="121"/>
    </row>
    <row r="147" spans="2:25" s="5" customFormat="1" ht="51" hidden="1" x14ac:dyDescent="0.25">
      <c r="B147" s="88" t="s">
        <v>363</v>
      </c>
      <c r="C147" s="54" t="s">
        <v>364</v>
      </c>
      <c r="D147" s="59">
        <v>0</v>
      </c>
      <c r="E147" s="59">
        <v>0</v>
      </c>
      <c r="F147" s="59">
        <v>0</v>
      </c>
      <c r="G147" s="58">
        <v>0</v>
      </c>
      <c r="H147" s="58">
        <v>0</v>
      </c>
      <c r="I147" s="58">
        <v>0</v>
      </c>
      <c r="J147" s="58">
        <v>0</v>
      </c>
      <c r="K147" s="58">
        <v>0</v>
      </c>
      <c r="L147" s="58">
        <f>'2 lentelė'!L145</f>
        <v>13180</v>
      </c>
      <c r="M147" s="58">
        <f>'2 lentelė'!Q145</f>
        <v>11202</v>
      </c>
      <c r="N147" s="58">
        <v>0</v>
      </c>
      <c r="O147" s="58">
        <v>0</v>
      </c>
      <c r="P147" s="58">
        <v>0</v>
      </c>
      <c r="Q147" s="58">
        <v>0</v>
      </c>
      <c r="R147" s="58">
        <f t="shared" ref="R147:S150" si="70">D147+F147+H147+J147+L147+N147+P147</f>
        <v>13180</v>
      </c>
      <c r="S147" s="58">
        <f t="shared" si="70"/>
        <v>11202</v>
      </c>
      <c r="T147" s="116"/>
      <c r="U147" s="116"/>
      <c r="V147" s="116"/>
      <c r="W147" s="4"/>
      <c r="X147" s="36"/>
      <c r="Y147" s="36"/>
    </row>
    <row r="148" spans="2:25" s="5" customFormat="1" ht="51" hidden="1" x14ac:dyDescent="0.25">
      <c r="B148" s="88" t="s">
        <v>365</v>
      </c>
      <c r="C148" s="54" t="s">
        <v>366</v>
      </c>
      <c r="D148" s="59">
        <v>0</v>
      </c>
      <c r="E148" s="59">
        <v>0</v>
      </c>
      <c r="F148" s="59">
        <v>0</v>
      </c>
      <c r="G148" s="58">
        <v>0</v>
      </c>
      <c r="H148" s="58">
        <v>0</v>
      </c>
      <c r="I148" s="58">
        <v>0</v>
      </c>
      <c r="J148" s="58">
        <v>0</v>
      </c>
      <c r="K148" s="58">
        <v>0</v>
      </c>
      <c r="L148" s="58">
        <f>'2 lentelė'!L146</f>
        <v>6134.9299999999994</v>
      </c>
      <c r="M148" s="58">
        <f>'2 lentelė'!Q146</f>
        <v>5214.6900000000005</v>
      </c>
      <c r="N148" s="58">
        <v>0</v>
      </c>
      <c r="O148" s="58">
        <v>0</v>
      </c>
      <c r="P148" s="58">
        <v>0</v>
      </c>
      <c r="Q148" s="58">
        <v>0</v>
      </c>
      <c r="R148" s="58">
        <f>D148+F148+H148+J148+L148+N148+P148</f>
        <v>6134.9299999999994</v>
      </c>
      <c r="S148" s="58">
        <f t="shared" si="70"/>
        <v>5214.6900000000005</v>
      </c>
      <c r="T148" s="116"/>
      <c r="U148" s="116"/>
      <c r="V148" s="116"/>
      <c r="W148" s="4"/>
      <c r="X148" s="36"/>
      <c r="Y148" s="36"/>
    </row>
    <row r="149" spans="2:25" s="5" customFormat="1" ht="63.75" hidden="1" x14ac:dyDescent="0.25">
      <c r="B149" s="88" t="s">
        <v>367</v>
      </c>
      <c r="C149" s="54" t="s">
        <v>368</v>
      </c>
      <c r="D149" s="59">
        <v>0</v>
      </c>
      <c r="E149" s="59">
        <v>0</v>
      </c>
      <c r="F149" s="59">
        <v>0</v>
      </c>
      <c r="G149" s="58">
        <v>0</v>
      </c>
      <c r="H149" s="58">
        <v>0</v>
      </c>
      <c r="I149" s="58">
        <v>0</v>
      </c>
      <c r="J149" s="58">
        <v>0</v>
      </c>
      <c r="K149" s="58">
        <v>0</v>
      </c>
      <c r="L149" s="58">
        <f>'2 lentelė'!L147</f>
        <v>7725.47</v>
      </c>
      <c r="M149" s="58">
        <f>'2 lentelė'!Q147</f>
        <v>6566.65</v>
      </c>
      <c r="N149" s="58">
        <v>0</v>
      </c>
      <c r="O149" s="58">
        <v>0</v>
      </c>
      <c r="P149" s="58">
        <v>0</v>
      </c>
      <c r="Q149" s="58">
        <v>0</v>
      </c>
      <c r="R149" s="58">
        <f t="shared" si="70"/>
        <v>7725.47</v>
      </c>
      <c r="S149" s="58">
        <f t="shared" si="70"/>
        <v>6566.65</v>
      </c>
      <c r="T149" s="116"/>
      <c r="U149" s="116"/>
      <c r="V149" s="116"/>
      <c r="W149" s="4"/>
      <c r="X149" s="36"/>
      <c r="Y149" s="36"/>
    </row>
    <row r="150" spans="2:25" s="5" customFormat="1" ht="102" hidden="1" x14ac:dyDescent="0.25">
      <c r="B150" s="88" t="s">
        <v>369</v>
      </c>
      <c r="C150" s="54" t="s">
        <v>370</v>
      </c>
      <c r="D150" s="59">
        <v>0</v>
      </c>
      <c r="E150" s="59">
        <v>0</v>
      </c>
      <c r="F150" s="59">
        <v>0</v>
      </c>
      <c r="G150" s="58">
        <v>0</v>
      </c>
      <c r="H150" s="58">
        <v>0</v>
      </c>
      <c r="I150" s="58">
        <v>0</v>
      </c>
      <c r="J150" s="58">
        <v>0</v>
      </c>
      <c r="K150" s="58">
        <v>0</v>
      </c>
      <c r="L150" s="58">
        <f>'2 lentelė'!L148</f>
        <v>200000</v>
      </c>
      <c r="M150" s="58">
        <f>'2 lentelė'!Q148</f>
        <v>4635.28</v>
      </c>
      <c r="N150" s="58">
        <v>0</v>
      </c>
      <c r="O150" s="58">
        <v>0</v>
      </c>
      <c r="P150" s="58">
        <v>0</v>
      </c>
      <c r="Q150" s="58">
        <v>0</v>
      </c>
      <c r="R150" s="58">
        <f t="shared" si="70"/>
        <v>200000</v>
      </c>
      <c r="S150" s="58">
        <f t="shared" si="70"/>
        <v>4635.28</v>
      </c>
      <c r="T150" s="116"/>
      <c r="U150" s="116"/>
      <c r="V150" s="116"/>
      <c r="W150" s="4"/>
      <c r="X150" s="36"/>
      <c r="Y150" s="36"/>
    </row>
    <row r="151" spans="2:25" s="5" customFormat="1" ht="63.75" hidden="1" x14ac:dyDescent="0.25">
      <c r="B151" s="88" t="s">
        <v>371</v>
      </c>
      <c r="C151" s="54" t="s">
        <v>372</v>
      </c>
      <c r="D151" s="59">
        <v>0</v>
      </c>
      <c r="E151" s="59">
        <v>0</v>
      </c>
      <c r="F151" s="59">
        <v>0</v>
      </c>
      <c r="G151" s="58">
        <v>0</v>
      </c>
      <c r="H151" s="58">
        <v>0</v>
      </c>
      <c r="I151" s="58">
        <v>0</v>
      </c>
      <c r="J151" s="58">
        <v>0</v>
      </c>
      <c r="K151" s="58">
        <v>0</v>
      </c>
      <c r="L151" s="58">
        <f>'2 lentelė'!L149</f>
        <v>2271.7600000000002</v>
      </c>
      <c r="M151" s="58">
        <f>'2 lentelė'!Q149</f>
        <v>1931</v>
      </c>
      <c r="N151" s="58">
        <v>0</v>
      </c>
      <c r="O151" s="58">
        <v>0</v>
      </c>
      <c r="P151" s="58">
        <v>0</v>
      </c>
      <c r="Q151" s="58">
        <v>0</v>
      </c>
      <c r="R151" s="58">
        <f>D151+F151+H151+J151+L151+N151+P151</f>
        <v>2271.7600000000002</v>
      </c>
      <c r="S151" s="58">
        <f>E151+G151+I151+K151+M151+O151+Q151</f>
        <v>1931</v>
      </c>
      <c r="T151" s="116"/>
      <c r="U151" s="116"/>
      <c r="V151" s="116"/>
      <c r="W151" s="4"/>
      <c r="X151" s="36"/>
      <c r="Y151" s="36"/>
    </row>
    <row r="152" spans="2:25" s="5" customFormat="1" ht="102" hidden="1" x14ac:dyDescent="0.25">
      <c r="B152" s="88" t="s">
        <v>373</v>
      </c>
      <c r="C152" s="54" t="s">
        <v>374</v>
      </c>
      <c r="D152" s="59">
        <v>0</v>
      </c>
      <c r="E152" s="59">
        <v>0</v>
      </c>
      <c r="F152" s="59">
        <v>0</v>
      </c>
      <c r="G152" s="58">
        <v>0</v>
      </c>
      <c r="H152" s="58">
        <v>0</v>
      </c>
      <c r="I152" s="58">
        <v>0</v>
      </c>
      <c r="J152" s="58">
        <v>0</v>
      </c>
      <c r="K152" s="58">
        <v>0</v>
      </c>
      <c r="L152" s="58">
        <f>'2 lentelė'!L150</f>
        <v>6589.41</v>
      </c>
      <c r="M152" s="58">
        <f>'2 lentelė'!Q150</f>
        <v>5601</v>
      </c>
      <c r="N152" s="58">
        <v>0</v>
      </c>
      <c r="O152" s="58">
        <v>0</v>
      </c>
      <c r="P152" s="58">
        <v>0</v>
      </c>
      <c r="Q152" s="58">
        <v>0</v>
      </c>
      <c r="R152" s="58">
        <v>6589.41</v>
      </c>
      <c r="S152" s="58">
        <v>5601</v>
      </c>
      <c r="T152" s="116"/>
      <c r="U152" s="116"/>
      <c r="V152" s="116"/>
      <c r="W152" s="4"/>
      <c r="X152" s="36"/>
      <c r="Y152" s="36"/>
    </row>
    <row r="153" spans="2:25" s="5" customFormat="1" ht="51" hidden="1" x14ac:dyDescent="0.25">
      <c r="B153" s="117" t="s">
        <v>375</v>
      </c>
      <c r="C153" s="37" t="s">
        <v>376</v>
      </c>
      <c r="D153" s="117">
        <f>D154</f>
        <v>0</v>
      </c>
      <c r="E153" s="117">
        <f t="shared" ref="E153:S153" si="71">E154</f>
        <v>0</v>
      </c>
      <c r="F153" s="117">
        <f t="shared" si="71"/>
        <v>0</v>
      </c>
      <c r="G153" s="37">
        <f t="shared" si="71"/>
        <v>0</v>
      </c>
      <c r="H153" s="117">
        <f t="shared" si="71"/>
        <v>0</v>
      </c>
      <c r="I153" s="117">
        <f t="shared" si="71"/>
        <v>0</v>
      </c>
      <c r="J153" s="117">
        <f t="shared" si="71"/>
        <v>0</v>
      </c>
      <c r="K153" s="37">
        <f t="shared" si="71"/>
        <v>0</v>
      </c>
      <c r="L153" s="117">
        <f t="shared" si="71"/>
        <v>969250.43</v>
      </c>
      <c r="M153" s="117">
        <f t="shared" si="71"/>
        <v>823862.25</v>
      </c>
      <c r="N153" s="117">
        <f t="shared" si="71"/>
        <v>0</v>
      </c>
      <c r="O153" s="37">
        <f t="shared" si="71"/>
        <v>0</v>
      </c>
      <c r="P153" s="117">
        <f t="shared" si="71"/>
        <v>0</v>
      </c>
      <c r="Q153" s="117">
        <f t="shared" si="71"/>
        <v>0</v>
      </c>
      <c r="R153" s="117">
        <f t="shared" si="71"/>
        <v>969250.43</v>
      </c>
      <c r="S153" s="37">
        <f t="shared" si="71"/>
        <v>823862.25</v>
      </c>
      <c r="T153" s="116"/>
      <c r="U153" s="116"/>
      <c r="V153" s="121"/>
    </row>
    <row r="154" spans="2:25" s="5" customFormat="1" ht="59.25" hidden="1" customHeight="1" x14ac:dyDescent="0.25">
      <c r="B154" s="60" t="s">
        <v>377</v>
      </c>
      <c r="C154" s="60" t="s">
        <v>378</v>
      </c>
      <c r="D154" s="60">
        <f t="shared" ref="D154:S154" si="72">D155+D156+D157+D158+D159+D160</f>
        <v>0</v>
      </c>
      <c r="E154" s="60">
        <f t="shared" si="72"/>
        <v>0</v>
      </c>
      <c r="F154" s="60">
        <f t="shared" si="72"/>
        <v>0</v>
      </c>
      <c r="G154" s="60">
        <f t="shared" si="72"/>
        <v>0</v>
      </c>
      <c r="H154" s="60">
        <f t="shared" si="72"/>
        <v>0</v>
      </c>
      <c r="I154" s="60">
        <f t="shared" si="72"/>
        <v>0</v>
      </c>
      <c r="J154" s="60">
        <f t="shared" si="72"/>
        <v>0</v>
      </c>
      <c r="K154" s="60">
        <f t="shared" si="72"/>
        <v>0</v>
      </c>
      <c r="L154" s="60">
        <f t="shared" si="72"/>
        <v>969250.43</v>
      </c>
      <c r="M154" s="60">
        <f t="shared" si="72"/>
        <v>823862.25</v>
      </c>
      <c r="N154" s="60">
        <f t="shared" si="72"/>
        <v>0</v>
      </c>
      <c r="O154" s="60">
        <f t="shared" si="72"/>
        <v>0</v>
      </c>
      <c r="P154" s="60">
        <f t="shared" si="72"/>
        <v>0</v>
      </c>
      <c r="Q154" s="60">
        <f t="shared" si="72"/>
        <v>0</v>
      </c>
      <c r="R154" s="60">
        <f t="shared" si="72"/>
        <v>969250.43</v>
      </c>
      <c r="S154" s="60">
        <f t="shared" si="72"/>
        <v>823862.25</v>
      </c>
      <c r="T154" s="116">
        <v>845738</v>
      </c>
      <c r="U154" s="116">
        <f>T154-S154</f>
        <v>21875.75</v>
      </c>
      <c r="V154" s="121"/>
    </row>
    <row r="155" spans="2:25" s="5" customFormat="1" ht="38.25" hidden="1" x14ac:dyDescent="0.25">
      <c r="B155" s="88" t="s">
        <v>379</v>
      </c>
      <c r="C155" s="54" t="s">
        <v>380</v>
      </c>
      <c r="D155" s="59">
        <v>0</v>
      </c>
      <c r="E155" s="59">
        <v>0</v>
      </c>
      <c r="F155" s="59">
        <v>0</v>
      </c>
      <c r="G155" s="58">
        <v>0</v>
      </c>
      <c r="H155" s="58">
        <v>0</v>
      </c>
      <c r="I155" s="58">
        <v>0</v>
      </c>
      <c r="J155" s="58">
        <v>0</v>
      </c>
      <c r="K155" s="58">
        <v>0</v>
      </c>
      <c r="L155" s="58">
        <f>'2 lentelė'!L153</f>
        <v>228408.24</v>
      </c>
      <c r="M155" s="58">
        <f>'2 lentelė'!Q153</f>
        <v>194147</v>
      </c>
      <c r="N155" s="58">
        <v>0</v>
      </c>
      <c r="O155" s="58">
        <v>0</v>
      </c>
      <c r="P155" s="58">
        <v>0</v>
      </c>
      <c r="Q155" s="58">
        <v>0</v>
      </c>
      <c r="R155" s="58">
        <f t="shared" ref="R155:S160" si="73">D155+F155+H155+J155+L155+N155+P155</f>
        <v>228408.24</v>
      </c>
      <c r="S155" s="58">
        <f t="shared" si="73"/>
        <v>194147</v>
      </c>
      <c r="T155" s="116"/>
      <c r="U155" s="116"/>
      <c r="V155" s="121"/>
    </row>
    <row r="156" spans="2:25" s="5" customFormat="1" ht="38.25" hidden="1" x14ac:dyDescent="0.25">
      <c r="B156" s="88" t="s">
        <v>381</v>
      </c>
      <c r="C156" s="54" t="s">
        <v>382</v>
      </c>
      <c r="D156" s="59">
        <v>0</v>
      </c>
      <c r="E156" s="59">
        <v>0</v>
      </c>
      <c r="F156" s="59">
        <v>0</v>
      </c>
      <c r="G156" s="58">
        <v>0</v>
      </c>
      <c r="H156" s="58">
        <v>0</v>
      </c>
      <c r="I156" s="58">
        <v>0</v>
      </c>
      <c r="J156" s="58">
        <v>0</v>
      </c>
      <c r="K156" s="58">
        <v>0</v>
      </c>
      <c r="L156" s="58">
        <f>'2 lentelė'!L154</f>
        <v>207636</v>
      </c>
      <c r="M156" s="58">
        <f>'2 lentelė'!Q154</f>
        <v>176490</v>
      </c>
      <c r="N156" s="58">
        <v>0</v>
      </c>
      <c r="O156" s="58">
        <v>0</v>
      </c>
      <c r="P156" s="58">
        <v>0</v>
      </c>
      <c r="Q156" s="58">
        <v>0</v>
      </c>
      <c r="R156" s="58">
        <f t="shared" si="73"/>
        <v>207636</v>
      </c>
      <c r="S156" s="58">
        <f t="shared" si="73"/>
        <v>176490</v>
      </c>
      <c r="T156" s="116"/>
      <c r="U156" s="116"/>
      <c r="V156" s="121"/>
    </row>
    <row r="157" spans="2:25" s="5" customFormat="1" ht="38.25" hidden="1" x14ac:dyDescent="0.25">
      <c r="B157" s="88" t="s">
        <v>383</v>
      </c>
      <c r="C157" s="54" t="s">
        <v>384</v>
      </c>
      <c r="D157" s="59">
        <v>0</v>
      </c>
      <c r="E157" s="59">
        <v>0</v>
      </c>
      <c r="F157" s="59">
        <v>0</v>
      </c>
      <c r="G157" s="58">
        <v>0</v>
      </c>
      <c r="H157" s="58">
        <v>0</v>
      </c>
      <c r="I157" s="58">
        <v>0</v>
      </c>
      <c r="J157" s="58">
        <v>0</v>
      </c>
      <c r="K157" s="58">
        <v>0</v>
      </c>
      <c r="L157" s="58">
        <f>'2 lentelė'!L155</f>
        <v>291706.14</v>
      </c>
      <c r="M157" s="58">
        <f>'2 lentelė'!Q155</f>
        <v>247950.21</v>
      </c>
      <c r="N157" s="58">
        <v>0</v>
      </c>
      <c r="O157" s="58">
        <v>0</v>
      </c>
      <c r="P157" s="58">
        <v>0</v>
      </c>
      <c r="Q157" s="58">
        <v>0</v>
      </c>
      <c r="R157" s="58">
        <f t="shared" si="73"/>
        <v>291706.14</v>
      </c>
      <c r="S157" s="58">
        <f t="shared" si="73"/>
        <v>247950.21</v>
      </c>
      <c r="T157" s="116"/>
      <c r="U157" s="116"/>
      <c r="V157" s="121"/>
    </row>
    <row r="158" spans="2:25" s="5" customFormat="1" ht="38.25" hidden="1" x14ac:dyDescent="0.25">
      <c r="B158" s="88" t="s">
        <v>385</v>
      </c>
      <c r="C158" s="54" t="s">
        <v>386</v>
      </c>
      <c r="D158" s="59">
        <v>0</v>
      </c>
      <c r="E158" s="59">
        <v>0</v>
      </c>
      <c r="F158" s="59">
        <v>0</v>
      </c>
      <c r="G158" s="58">
        <v>0</v>
      </c>
      <c r="H158" s="58">
        <v>0</v>
      </c>
      <c r="I158" s="58">
        <v>0</v>
      </c>
      <c r="J158" s="58">
        <v>0</v>
      </c>
      <c r="K158" s="58">
        <v>0</v>
      </c>
      <c r="L158" s="58">
        <f>'2 lentelė'!L156</f>
        <v>140294.17000000001</v>
      </c>
      <c r="M158" s="58">
        <f>'2 lentelė'!Q156</f>
        <v>119250.04</v>
      </c>
      <c r="N158" s="58">
        <v>0</v>
      </c>
      <c r="O158" s="58">
        <v>0</v>
      </c>
      <c r="P158" s="58">
        <v>0</v>
      </c>
      <c r="Q158" s="58">
        <v>0</v>
      </c>
      <c r="R158" s="58">
        <f t="shared" si="73"/>
        <v>140294.17000000001</v>
      </c>
      <c r="S158" s="58">
        <f t="shared" si="73"/>
        <v>119250.04</v>
      </c>
      <c r="T158" s="116"/>
      <c r="U158" s="116"/>
      <c r="V158" s="121"/>
    </row>
    <row r="159" spans="2:25" s="5" customFormat="1" ht="38.25" hidden="1" x14ac:dyDescent="0.25">
      <c r="B159" s="88" t="s">
        <v>387</v>
      </c>
      <c r="C159" s="54" t="s">
        <v>388</v>
      </c>
      <c r="D159" s="59">
        <v>0</v>
      </c>
      <c r="E159" s="59">
        <v>0</v>
      </c>
      <c r="F159" s="59">
        <v>0</v>
      </c>
      <c r="G159" s="58">
        <v>0</v>
      </c>
      <c r="H159" s="58">
        <v>0</v>
      </c>
      <c r="I159" s="58">
        <v>0</v>
      </c>
      <c r="J159" s="58">
        <v>0</v>
      </c>
      <c r="K159" s="58">
        <v>0</v>
      </c>
      <c r="L159" s="58">
        <f>'2 lentelė'!L157</f>
        <v>46794.12</v>
      </c>
      <c r="M159" s="58">
        <f>'2 lentelė'!Q157</f>
        <v>39775</v>
      </c>
      <c r="N159" s="58">
        <v>0</v>
      </c>
      <c r="O159" s="58">
        <v>0</v>
      </c>
      <c r="P159" s="58">
        <v>0</v>
      </c>
      <c r="Q159" s="58">
        <v>0</v>
      </c>
      <c r="R159" s="58">
        <f t="shared" si="73"/>
        <v>46794.12</v>
      </c>
      <c r="S159" s="58">
        <f t="shared" si="73"/>
        <v>39775</v>
      </c>
      <c r="T159" s="116"/>
      <c r="U159" s="116"/>
      <c r="V159" s="121"/>
    </row>
    <row r="160" spans="2:25" s="5" customFormat="1" ht="36" hidden="1" customHeight="1" x14ac:dyDescent="0.25">
      <c r="B160" s="88" t="s">
        <v>389</v>
      </c>
      <c r="C160" s="54" t="s">
        <v>390</v>
      </c>
      <c r="D160" s="59">
        <v>0</v>
      </c>
      <c r="E160" s="59">
        <v>0</v>
      </c>
      <c r="F160" s="59">
        <v>0</v>
      </c>
      <c r="G160" s="58">
        <v>0</v>
      </c>
      <c r="H160" s="58">
        <v>0</v>
      </c>
      <c r="I160" s="58">
        <v>0</v>
      </c>
      <c r="J160" s="58">
        <v>0</v>
      </c>
      <c r="K160" s="58">
        <v>0</v>
      </c>
      <c r="L160" s="58">
        <f>'2 lentelė'!L158</f>
        <v>54411.76</v>
      </c>
      <c r="M160" s="58">
        <f>'2 lentelė'!Q158</f>
        <v>46250</v>
      </c>
      <c r="N160" s="58">
        <v>0</v>
      </c>
      <c r="O160" s="58">
        <v>0</v>
      </c>
      <c r="P160" s="58">
        <v>0</v>
      </c>
      <c r="Q160" s="58">
        <v>0</v>
      </c>
      <c r="R160" s="58">
        <f t="shared" si="73"/>
        <v>54411.76</v>
      </c>
      <c r="S160" s="58">
        <f t="shared" si="73"/>
        <v>46250</v>
      </c>
      <c r="T160" s="116"/>
      <c r="U160" s="116"/>
      <c r="V160" s="121"/>
    </row>
    <row r="161" spans="2:22" s="5" customFormat="1" ht="76.5" hidden="1" x14ac:dyDescent="0.25">
      <c r="B161" s="117" t="s">
        <v>391</v>
      </c>
      <c r="C161" s="37" t="s">
        <v>392</v>
      </c>
      <c r="D161" s="117">
        <v>0</v>
      </c>
      <c r="E161" s="117">
        <v>0</v>
      </c>
      <c r="F161" s="117">
        <v>0</v>
      </c>
      <c r="G161" s="37">
        <v>0</v>
      </c>
      <c r="H161" s="117">
        <f t="shared" ref="H161:S161" si="74">H162+H167</f>
        <v>2153660.5</v>
      </c>
      <c r="I161" s="117">
        <f t="shared" si="74"/>
        <v>1830610.27</v>
      </c>
      <c r="J161" s="117">
        <f t="shared" si="74"/>
        <v>481967</v>
      </c>
      <c r="K161" s="37">
        <f t="shared" si="74"/>
        <v>409672.8</v>
      </c>
      <c r="L161" s="117">
        <f t="shared" si="74"/>
        <v>1184481.54</v>
      </c>
      <c r="M161" s="117">
        <f t="shared" si="74"/>
        <v>754702.39</v>
      </c>
      <c r="N161" s="117">
        <f t="shared" si="74"/>
        <v>0</v>
      </c>
      <c r="O161" s="37">
        <f t="shared" si="74"/>
        <v>0</v>
      </c>
      <c r="P161" s="117">
        <f t="shared" si="74"/>
        <v>0</v>
      </c>
      <c r="Q161" s="117">
        <f t="shared" si="74"/>
        <v>0</v>
      </c>
      <c r="R161" s="117">
        <f t="shared" si="74"/>
        <v>3820109.04</v>
      </c>
      <c r="S161" s="37">
        <f t="shared" si="74"/>
        <v>2994985.46</v>
      </c>
      <c r="T161" s="116"/>
      <c r="U161" s="116"/>
      <c r="V161" s="121"/>
    </row>
    <row r="162" spans="2:22" s="5" customFormat="1" ht="50.25" hidden="1" customHeight="1" x14ac:dyDescent="0.25">
      <c r="B162" s="60" t="s">
        <v>393</v>
      </c>
      <c r="C162" s="60" t="s">
        <v>394</v>
      </c>
      <c r="D162" s="60">
        <f>SUM(D163:D166)</f>
        <v>0</v>
      </c>
      <c r="E162" s="60">
        <f t="shared" ref="E162:S162" si="75">SUM(E163:E166)</f>
        <v>0</v>
      </c>
      <c r="F162" s="60">
        <f t="shared" si="75"/>
        <v>0</v>
      </c>
      <c r="G162" s="60">
        <f t="shared" si="75"/>
        <v>0</v>
      </c>
      <c r="H162" s="60">
        <f t="shared" si="75"/>
        <v>0</v>
      </c>
      <c r="I162" s="60">
        <f t="shared" si="75"/>
        <v>0</v>
      </c>
      <c r="J162" s="60">
        <f t="shared" si="75"/>
        <v>50888</v>
      </c>
      <c r="K162" s="60">
        <f t="shared" si="75"/>
        <v>43254.8</v>
      </c>
      <c r="L162" s="60">
        <f t="shared" si="75"/>
        <v>1184481.54</v>
      </c>
      <c r="M162" s="60">
        <f t="shared" si="75"/>
        <v>754702.39</v>
      </c>
      <c r="N162" s="60">
        <f t="shared" si="75"/>
        <v>0</v>
      </c>
      <c r="O162" s="60">
        <f t="shared" si="75"/>
        <v>0</v>
      </c>
      <c r="P162" s="60">
        <f t="shared" si="75"/>
        <v>0</v>
      </c>
      <c r="Q162" s="60">
        <f t="shared" si="75"/>
        <v>0</v>
      </c>
      <c r="R162" s="60">
        <f t="shared" si="75"/>
        <v>1235369.54</v>
      </c>
      <c r="S162" s="60">
        <f t="shared" si="75"/>
        <v>797957.19</v>
      </c>
      <c r="T162" s="116">
        <v>810748</v>
      </c>
      <c r="U162" s="116">
        <f>T162-S162</f>
        <v>12790.810000000056</v>
      </c>
      <c r="V162" s="121"/>
    </row>
    <row r="163" spans="2:22" s="5" customFormat="1" ht="38.25" hidden="1" x14ac:dyDescent="0.25">
      <c r="B163" s="88" t="s">
        <v>395</v>
      </c>
      <c r="C163" s="54" t="s">
        <v>396</v>
      </c>
      <c r="D163" s="59">
        <v>0</v>
      </c>
      <c r="E163" s="59">
        <v>0</v>
      </c>
      <c r="F163" s="59">
        <v>0</v>
      </c>
      <c r="G163" s="58">
        <v>0</v>
      </c>
      <c r="H163" s="58">
        <v>0</v>
      </c>
      <c r="I163" s="58">
        <v>0</v>
      </c>
      <c r="J163" s="58">
        <v>0</v>
      </c>
      <c r="K163" s="58">
        <v>0</v>
      </c>
      <c r="L163" s="58">
        <f>'2 lentelė'!L161</f>
        <v>84698.81</v>
      </c>
      <c r="M163" s="58">
        <f>'2 lentelė'!Q161</f>
        <v>71993.98</v>
      </c>
      <c r="N163" s="58">
        <v>0</v>
      </c>
      <c r="O163" s="58">
        <v>0</v>
      </c>
      <c r="P163" s="58">
        <v>0</v>
      </c>
      <c r="Q163" s="58">
        <v>0</v>
      </c>
      <c r="R163" s="58">
        <f>H163+J163+L163+N163+P163</f>
        <v>84698.81</v>
      </c>
      <c r="S163" s="58">
        <f>I163+K163+M163+O163+Q163</f>
        <v>71993.98</v>
      </c>
      <c r="T163" s="116"/>
      <c r="U163" s="116"/>
    </row>
    <row r="164" spans="2:22" s="5" customFormat="1" ht="51" hidden="1" x14ac:dyDescent="0.25">
      <c r="B164" s="88" t="s">
        <v>397</v>
      </c>
      <c r="C164" s="54" t="s">
        <v>398</v>
      </c>
      <c r="D164" s="59">
        <v>0</v>
      </c>
      <c r="E164" s="59">
        <v>0</v>
      </c>
      <c r="F164" s="59">
        <v>0</v>
      </c>
      <c r="G164" s="58">
        <v>0</v>
      </c>
      <c r="H164" s="58">
        <v>0</v>
      </c>
      <c r="I164" s="58">
        <v>0</v>
      </c>
      <c r="J164" s="58">
        <v>0</v>
      </c>
      <c r="K164" s="58">
        <v>0</v>
      </c>
      <c r="L164" s="58">
        <f>'2 lentelė'!L162</f>
        <v>70618.14</v>
      </c>
      <c r="M164" s="58">
        <f>'2 lentelė'!Q162</f>
        <v>60025.41</v>
      </c>
      <c r="N164" s="58">
        <v>0</v>
      </c>
      <c r="O164" s="58">
        <v>0</v>
      </c>
      <c r="P164" s="58">
        <v>0</v>
      </c>
      <c r="Q164" s="58">
        <v>0</v>
      </c>
      <c r="R164" s="58">
        <f t="shared" ref="R164:R166" si="76">H164+J164+L164+N164+P164</f>
        <v>70618.14</v>
      </c>
      <c r="S164" s="58">
        <f t="shared" ref="S164:S166" si="77">I164+K164+M164+O164+Q164</f>
        <v>60025.41</v>
      </c>
      <c r="T164" s="116"/>
      <c r="U164" s="116"/>
    </row>
    <row r="165" spans="2:22" s="5" customFormat="1" ht="54.75" hidden="1" customHeight="1" x14ac:dyDescent="0.25">
      <c r="B165" s="88" t="s">
        <v>399</v>
      </c>
      <c r="C165" s="54" t="s">
        <v>400</v>
      </c>
      <c r="D165" s="59">
        <v>0</v>
      </c>
      <c r="E165" s="59">
        <v>0</v>
      </c>
      <c r="F165" s="59">
        <v>0</v>
      </c>
      <c r="G165" s="58">
        <v>0</v>
      </c>
      <c r="H165" s="58">
        <v>0</v>
      </c>
      <c r="I165" s="58">
        <v>0</v>
      </c>
      <c r="J165" s="58">
        <f>'2 lentelė'!L163</f>
        <v>50888</v>
      </c>
      <c r="K165" s="58">
        <f>'2 lentelė'!Q163</f>
        <v>43254.8</v>
      </c>
      <c r="L165" s="58">
        <v>0</v>
      </c>
      <c r="M165" s="58">
        <v>0</v>
      </c>
      <c r="N165" s="58">
        <v>0</v>
      </c>
      <c r="O165" s="58">
        <v>0</v>
      </c>
      <c r="P165" s="58">
        <v>0</v>
      </c>
      <c r="Q165" s="58">
        <v>0</v>
      </c>
      <c r="R165" s="58">
        <f t="shared" si="76"/>
        <v>50888</v>
      </c>
      <c r="S165" s="58">
        <f t="shared" si="77"/>
        <v>43254.8</v>
      </c>
      <c r="T165" s="116"/>
      <c r="U165" s="116"/>
    </row>
    <row r="166" spans="2:22" s="5" customFormat="1" ht="114.75" hidden="1" customHeight="1" x14ac:dyDescent="0.25">
      <c r="B166" s="88" t="s">
        <v>401</v>
      </c>
      <c r="C166" s="54" t="s">
        <v>402</v>
      </c>
      <c r="D166" s="59">
        <v>0</v>
      </c>
      <c r="E166" s="59">
        <v>0</v>
      </c>
      <c r="F166" s="59">
        <v>0</v>
      </c>
      <c r="G166" s="58">
        <v>0</v>
      </c>
      <c r="H166" s="58">
        <v>0</v>
      </c>
      <c r="I166" s="58">
        <v>0</v>
      </c>
      <c r="J166" s="58">
        <v>0</v>
      </c>
      <c r="K166" s="58">
        <v>0</v>
      </c>
      <c r="L166" s="58">
        <f>'2 lentelė'!L164</f>
        <v>1029164.59</v>
      </c>
      <c r="M166" s="58">
        <f>'2 lentelė'!Q164</f>
        <v>622683</v>
      </c>
      <c r="N166" s="58">
        <v>0</v>
      </c>
      <c r="O166" s="58">
        <v>0</v>
      </c>
      <c r="P166" s="58">
        <v>0</v>
      </c>
      <c r="Q166" s="58">
        <v>0</v>
      </c>
      <c r="R166" s="58">
        <f t="shared" si="76"/>
        <v>1029164.59</v>
      </c>
      <c r="S166" s="58">
        <f t="shared" si="77"/>
        <v>622683</v>
      </c>
      <c r="T166" s="116"/>
      <c r="U166" s="116"/>
    </row>
    <row r="167" spans="2:22" s="5" customFormat="1" ht="25.5" hidden="1" x14ac:dyDescent="0.25">
      <c r="B167" s="60" t="s">
        <v>403</v>
      </c>
      <c r="C167" s="60" t="s">
        <v>404</v>
      </c>
      <c r="D167" s="60">
        <v>0</v>
      </c>
      <c r="E167" s="60">
        <v>0</v>
      </c>
      <c r="F167" s="60">
        <v>0</v>
      </c>
      <c r="G167" s="60">
        <v>0</v>
      </c>
      <c r="H167" s="60">
        <f>SUM(H168:H173)</f>
        <v>2153660.5</v>
      </c>
      <c r="I167" s="60">
        <f t="shared" ref="I167:S167" si="78">SUM(I168:I173)</f>
        <v>1830610.27</v>
      </c>
      <c r="J167" s="60">
        <f>SUM(J168:J173)</f>
        <v>431079</v>
      </c>
      <c r="K167" s="60">
        <f t="shared" si="78"/>
        <v>366418</v>
      </c>
      <c r="L167" s="60">
        <f t="shared" si="78"/>
        <v>0</v>
      </c>
      <c r="M167" s="60">
        <f t="shared" si="78"/>
        <v>0</v>
      </c>
      <c r="N167" s="60">
        <f t="shared" si="78"/>
        <v>0</v>
      </c>
      <c r="O167" s="60">
        <f t="shared" si="78"/>
        <v>0</v>
      </c>
      <c r="P167" s="60">
        <f t="shared" si="78"/>
        <v>0</v>
      </c>
      <c r="Q167" s="60">
        <f t="shared" si="78"/>
        <v>0</v>
      </c>
      <c r="R167" s="60">
        <f>SUM(R168:R173)</f>
        <v>2584739.5</v>
      </c>
      <c r="S167" s="60">
        <f t="shared" si="78"/>
        <v>2197028.27</v>
      </c>
      <c r="T167" s="116"/>
      <c r="U167" s="116"/>
    </row>
    <row r="168" spans="2:22" s="5" customFormat="1" ht="89.25" hidden="1" x14ac:dyDescent="0.25">
      <c r="B168" s="88" t="s">
        <v>405</v>
      </c>
      <c r="C168" s="54" t="s">
        <v>406</v>
      </c>
      <c r="D168" s="59">
        <v>0</v>
      </c>
      <c r="E168" s="59">
        <v>0</v>
      </c>
      <c r="F168" s="59">
        <v>0</v>
      </c>
      <c r="G168" s="58">
        <v>0</v>
      </c>
      <c r="H168" s="58">
        <v>0</v>
      </c>
      <c r="I168" s="58">
        <v>0</v>
      </c>
      <c r="J168" s="58">
        <f>'2 lentelė'!L166</f>
        <v>431079</v>
      </c>
      <c r="K168" s="58">
        <f>'2 lentelė'!Q166</f>
        <v>366418</v>
      </c>
      <c r="L168" s="58">
        <v>0</v>
      </c>
      <c r="M168" s="58">
        <v>0</v>
      </c>
      <c r="N168" s="58">
        <v>0</v>
      </c>
      <c r="O168" s="58">
        <v>0</v>
      </c>
      <c r="P168" s="58">
        <v>0</v>
      </c>
      <c r="Q168" s="58">
        <v>0</v>
      </c>
      <c r="R168" s="58">
        <f t="shared" ref="R168:S173" si="79">D168+F168+H168+J168+L168+N168+P168</f>
        <v>431079</v>
      </c>
      <c r="S168" s="58">
        <f t="shared" si="79"/>
        <v>366418</v>
      </c>
      <c r="T168" s="116"/>
      <c r="U168" s="116"/>
    </row>
    <row r="169" spans="2:22" s="5" customFormat="1" ht="76.5" hidden="1" x14ac:dyDescent="0.25">
      <c r="B169" s="88" t="s">
        <v>407</v>
      </c>
      <c r="C169" s="54" t="s">
        <v>408</v>
      </c>
      <c r="D169" s="59">
        <v>0</v>
      </c>
      <c r="E169" s="59">
        <v>0</v>
      </c>
      <c r="F169" s="59">
        <v>0</v>
      </c>
      <c r="G169" s="58">
        <v>0</v>
      </c>
      <c r="H169" s="58">
        <f>'2 lentelė'!L167</f>
        <v>429341.5</v>
      </c>
      <c r="I169" s="58">
        <f>'2 lentelė'!Q167</f>
        <v>364940.27</v>
      </c>
      <c r="J169" s="58">
        <v>0</v>
      </c>
      <c r="K169" s="58">
        <v>0</v>
      </c>
      <c r="L169" s="58">
        <v>0</v>
      </c>
      <c r="M169" s="58">
        <v>0</v>
      </c>
      <c r="N169" s="58">
        <v>0</v>
      </c>
      <c r="O169" s="58">
        <v>0</v>
      </c>
      <c r="P169" s="58">
        <v>0</v>
      </c>
      <c r="Q169" s="58">
        <v>0</v>
      </c>
      <c r="R169" s="58">
        <f t="shared" si="79"/>
        <v>429341.5</v>
      </c>
      <c r="S169" s="58">
        <f t="shared" si="79"/>
        <v>364940.27</v>
      </c>
      <c r="T169" s="116"/>
      <c r="U169" s="116"/>
    </row>
    <row r="170" spans="2:22" s="5" customFormat="1" ht="38.25" hidden="1" x14ac:dyDescent="0.25">
      <c r="B170" s="88" t="s">
        <v>409</v>
      </c>
      <c r="C170" s="54" t="s">
        <v>410</v>
      </c>
      <c r="D170" s="59">
        <v>0</v>
      </c>
      <c r="E170" s="59">
        <v>0</v>
      </c>
      <c r="F170" s="59">
        <v>0</v>
      </c>
      <c r="G170" s="58">
        <v>0</v>
      </c>
      <c r="H170" s="58">
        <f>'2 lentelė'!L168</f>
        <v>301124</v>
      </c>
      <c r="I170" s="58">
        <f>'2 lentelė'!Q168</f>
        <v>255955</v>
      </c>
      <c r="J170" s="58">
        <v>0</v>
      </c>
      <c r="K170" s="58">
        <v>0</v>
      </c>
      <c r="L170" s="58">
        <v>0</v>
      </c>
      <c r="M170" s="58">
        <v>0</v>
      </c>
      <c r="N170" s="58">
        <v>0</v>
      </c>
      <c r="O170" s="58">
        <v>0</v>
      </c>
      <c r="P170" s="58">
        <v>0</v>
      </c>
      <c r="Q170" s="58">
        <v>0</v>
      </c>
      <c r="R170" s="58">
        <f t="shared" si="79"/>
        <v>301124</v>
      </c>
      <c r="S170" s="58">
        <f t="shared" si="79"/>
        <v>255955</v>
      </c>
      <c r="T170" s="116"/>
      <c r="U170" s="116"/>
    </row>
    <row r="171" spans="2:22" s="5" customFormat="1" ht="38.25" hidden="1" x14ac:dyDescent="0.25">
      <c r="B171" s="88" t="s">
        <v>411</v>
      </c>
      <c r="C171" s="54" t="s">
        <v>412</v>
      </c>
      <c r="D171" s="59">
        <v>0</v>
      </c>
      <c r="E171" s="59">
        <v>0</v>
      </c>
      <c r="F171" s="59">
        <v>0</v>
      </c>
      <c r="G171" s="58">
        <v>0</v>
      </c>
      <c r="H171" s="58">
        <f>'2 lentelė'!L169</f>
        <v>577160</v>
      </c>
      <c r="I171" s="58">
        <f>'2 lentelė'!Q169</f>
        <v>490585</v>
      </c>
      <c r="J171" s="58">
        <v>0</v>
      </c>
      <c r="K171" s="58">
        <v>0</v>
      </c>
      <c r="L171" s="58">
        <v>0</v>
      </c>
      <c r="M171" s="58">
        <v>0</v>
      </c>
      <c r="N171" s="58">
        <v>0</v>
      </c>
      <c r="O171" s="58">
        <v>0</v>
      </c>
      <c r="P171" s="58">
        <v>0</v>
      </c>
      <c r="Q171" s="58">
        <v>0</v>
      </c>
      <c r="R171" s="58">
        <f t="shared" si="79"/>
        <v>577160</v>
      </c>
      <c r="S171" s="58">
        <f t="shared" si="79"/>
        <v>490585</v>
      </c>
      <c r="T171" s="116"/>
      <c r="U171" s="116"/>
    </row>
    <row r="172" spans="2:22" s="5" customFormat="1" ht="38.25" hidden="1" x14ac:dyDescent="0.25">
      <c r="B172" s="88" t="s">
        <v>413</v>
      </c>
      <c r="C172" s="54" t="s">
        <v>414</v>
      </c>
      <c r="D172" s="59">
        <v>0</v>
      </c>
      <c r="E172" s="59">
        <v>0</v>
      </c>
      <c r="F172" s="59">
        <v>0</v>
      </c>
      <c r="G172" s="58">
        <v>0</v>
      </c>
      <c r="H172" s="58">
        <f>'2 lentelė'!L170</f>
        <v>347740</v>
      </c>
      <c r="I172" s="58">
        <f>'2 lentelė'!Q170</f>
        <v>295579</v>
      </c>
      <c r="J172" s="58">
        <v>0</v>
      </c>
      <c r="K172" s="58">
        <v>0</v>
      </c>
      <c r="L172" s="58">
        <v>0</v>
      </c>
      <c r="M172" s="58">
        <v>0</v>
      </c>
      <c r="N172" s="58">
        <v>0</v>
      </c>
      <c r="O172" s="58">
        <v>0</v>
      </c>
      <c r="P172" s="58">
        <v>0</v>
      </c>
      <c r="Q172" s="58">
        <v>0</v>
      </c>
      <c r="R172" s="58">
        <f t="shared" si="79"/>
        <v>347740</v>
      </c>
      <c r="S172" s="58">
        <f t="shared" si="79"/>
        <v>295579</v>
      </c>
      <c r="T172" s="116"/>
      <c r="U172" s="116"/>
    </row>
    <row r="173" spans="2:22" s="5" customFormat="1" ht="38.25" hidden="1" x14ac:dyDescent="0.25">
      <c r="B173" s="88" t="s">
        <v>415</v>
      </c>
      <c r="C173" s="54" t="s">
        <v>416</v>
      </c>
      <c r="D173" s="59">
        <v>0</v>
      </c>
      <c r="E173" s="59">
        <v>0</v>
      </c>
      <c r="F173" s="59">
        <v>0</v>
      </c>
      <c r="G173" s="58">
        <v>0</v>
      </c>
      <c r="H173" s="58">
        <f>'2 lentelė'!L171</f>
        <v>498295</v>
      </c>
      <c r="I173" s="58">
        <f>'2 lentelė'!Q171</f>
        <v>423551</v>
      </c>
      <c r="J173" s="58">
        <v>0</v>
      </c>
      <c r="K173" s="58">
        <v>0</v>
      </c>
      <c r="L173" s="58">
        <v>0</v>
      </c>
      <c r="M173" s="58">
        <v>0</v>
      </c>
      <c r="N173" s="58">
        <v>0</v>
      </c>
      <c r="O173" s="58">
        <v>0</v>
      </c>
      <c r="P173" s="58">
        <v>0</v>
      </c>
      <c r="Q173" s="58">
        <v>0</v>
      </c>
      <c r="R173" s="58">
        <f t="shared" si="79"/>
        <v>498295</v>
      </c>
      <c r="S173" s="58">
        <f t="shared" si="79"/>
        <v>423551</v>
      </c>
      <c r="T173" s="116"/>
      <c r="U173" s="116"/>
    </row>
    <row r="174" spans="2:22" s="5" customFormat="1" ht="48" hidden="1" customHeight="1" x14ac:dyDescent="0.25">
      <c r="B174" s="117" t="s">
        <v>417</v>
      </c>
      <c r="C174" s="37" t="s">
        <v>418</v>
      </c>
      <c r="D174" s="117">
        <v>0</v>
      </c>
      <c r="E174" s="117">
        <v>0</v>
      </c>
      <c r="F174" s="37">
        <v>0</v>
      </c>
      <c r="G174" s="117">
        <v>0</v>
      </c>
      <c r="H174" s="117">
        <f>SUM(H175)</f>
        <v>0</v>
      </c>
      <c r="I174" s="37">
        <f t="shared" ref="I174:R174" si="80">SUM(I175)</f>
        <v>0</v>
      </c>
      <c r="J174" s="117">
        <f t="shared" si="80"/>
        <v>5487613.46</v>
      </c>
      <c r="K174" s="117">
        <f t="shared" si="80"/>
        <v>4766852.91</v>
      </c>
      <c r="L174" s="37">
        <f t="shared" si="80"/>
        <v>0</v>
      </c>
      <c r="M174" s="117">
        <f t="shared" si="80"/>
        <v>0</v>
      </c>
      <c r="N174" s="117">
        <f t="shared" si="80"/>
        <v>0</v>
      </c>
      <c r="O174" s="37">
        <f t="shared" si="80"/>
        <v>0</v>
      </c>
      <c r="P174" s="117">
        <f t="shared" si="80"/>
        <v>0</v>
      </c>
      <c r="Q174" s="117">
        <f t="shared" si="80"/>
        <v>0</v>
      </c>
      <c r="R174" s="37">
        <f t="shared" si="80"/>
        <v>5751536.3399999999</v>
      </c>
      <c r="S174" s="117">
        <f>S175</f>
        <v>4766852.91</v>
      </c>
      <c r="T174" s="116"/>
      <c r="U174" s="116"/>
    </row>
    <row r="175" spans="2:22" s="5" customFormat="1" ht="61.5" hidden="1" customHeight="1" x14ac:dyDescent="0.25">
      <c r="B175" s="60" t="s">
        <v>419</v>
      </c>
      <c r="C175" s="60" t="s">
        <v>420</v>
      </c>
      <c r="D175" s="60">
        <v>0</v>
      </c>
      <c r="E175" s="60">
        <v>0</v>
      </c>
      <c r="F175" s="60">
        <v>0</v>
      </c>
      <c r="G175" s="60">
        <v>0</v>
      </c>
      <c r="H175" s="60">
        <f t="shared" ref="H175:Q175" si="81">SUM(H176:H181)</f>
        <v>0</v>
      </c>
      <c r="I175" s="60">
        <f t="shared" si="81"/>
        <v>0</v>
      </c>
      <c r="J175" s="60">
        <f t="shared" si="81"/>
        <v>5487613.46</v>
      </c>
      <c r="K175" s="60">
        <f t="shared" si="81"/>
        <v>4766852.91</v>
      </c>
      <c r="L175" s="60">
        <f t="shared" si="81"/>
        <v>0</v>
      </c>
      <c r="M175" s="60">
        <f t="shared" si="81"/>
        <v>0</v>
      </c>
      <c r="N175" s="60">
        <f t="shared" si="81"/>
        <v>0</v>
      </c>
      <c r="O175" s="60">
        <f t="shared" si="81"/>
        <v>0</v>
      </c>
      <c r="P175" s="60">
        <f t="shared" si="81"/>
        <v>0</v>
      </c>
      <c r="Q175" s="60">
        <f t="shared" si="81"/>
        <v>0</v>
      </c>
      <c r="R175" s="60">
        <f>SUM(R176:R181)</f>
        <v>5751536.3399999999</v>
      </c>
      <c r="S175" s="60">
        <f>SUM(S176:S181)</f>
        <v>4766852.91</v>
      </c>
      <c r="T175" s="116">
        <v>4766921.22</v>
      </c>
      <c r="U175" s="116">
        <f>T175-S175</f>
        <v>68.309999999590218</v>
      </c>
    </row>
    <row r="176" spans="2:22" s="5" customFormat="1" ht="89.25" hidden="1" x14ac:dyDescent="0.25">
      <c r="B176" s="88" t="s">
        <v>421</v>
      </c>
      <c r="C176" s="54" t="s">
        <v>422</v>
      </c>
      <c r="D176" s="59">
        <v>0</v>
      </c>
      <c r="E176" s="59">
        <v>0</v>
      </c>
      <c r="F176" s="59">
        <v>0</v>
      </c>
      <c r="G176" s="58">
        <v>0</v>
      </c>
      <c r="H176" s="58">
        <v>0</v>
      </c>
      <c r="I176" s="58">
        <v>0</v>
      </c>
      <c r="J176" s="58">
        <f>'2 lentelė'!L174</f>
        <v>70588</v>
      </c>
      <c r="K176" s="58">
        <f>'2 lentelė'!Q174</f>
        <v>59999.8</v>
      </c>
      <c r="L176" s="58">
        <v>0</v>
      </c>
      <c r="M176" s="58">
        <v>0</v>
      </c>
      <c r="N176" s="58">
        <v>0</v>
      </c>
      <c r="O176" s="58">
        <v>0</v>
      </c>
      <c r="P176" s="58">
        <v>0</v>
      </c>
      <c r="Q176" s="58">
        <v>0</v>
      </c>
      <c r="R176" s="58">
        <f t="shared" ref="R176:S180" si="82">D176+F176+H176+J176+L176+N176+P176</f>
        <v>70588</v>
      </c>
      <c r="S176" s="58">
        <f t="shared" si="82"/>
        <v>59999.8</v>
      </c>
      <c r="T176" s="113"/>
      <c r="U176" s="113"/>
    </row>
    <row r="177" spans="2:21" s="5" customFormat="1" ht="39.75" hidden="1" customHeight="1" x14ac:dyDescent="0.25">
      <c r="B177" s="88" t="s">
        <v>423</v>
      </c>
      <c r="C177" s="54" t="s">
        <v>424</v>
      </c>
      <c r="D177" s="59">
        <v>0</v>
      </c>
      <c r="E177" s="59">
        <v>0</v>
      </c>
      <c r="F177" s="59">
        <v>0</v>
      </c>
      <c r="G177" s="58">
        <v>0</v>
      </c>
      <c r="H177" s="58">
        <v>0</v>
      </c>
      <c r="I177" s="58">
        <v>0</v>
      </c>
      <c r="J177" s="58">
        <f>'2 lentelė'!L175</f>
        <v>589242.18000000005</v>
      </c>
      <c r="K177" s="58">
        <f>'2 lentelė'!Q175</f>
        <v>420000</v>
      </c>
      <c r="L177" s="58">
        <v>0</v>
      </c>
      <c r="M177" s="58">
        <v>0</v>
      </c>
      <c r="N177" s="58">
        <v>0</v>
      </c>
      <c r="O177" s="58">
        <v>0</v>
      </c>
      <c r="P177" s="58">
        <v>0</v>
      </c>
      <c r="Q177" s="58">
        <v>0</v>
      </c>
      <c r="R177" s="58">
        <f t="shared" si="82"/>
        <v>589242.18000000005</v>
      </c>
      <c r="S177" s="58">
        <f t="shared" si="82"/>
        <v>420000</v>
      </c>
      <c r="T177" s="113"/>
      <c r="U177" s="113"/>
    </row>
    <row r="178" spans="2:21" s="5" customFormat="1" ht="63.75" hidden="1" x14ac:dyDescent="0.25">
      <c r="B178" s="88" t="s">
        <v>425</v>
      </c>
      <c r="C178" s="54" t="s">
        <v>426</v>
      </c>
      <c r="D178" s="59">
        <v>0</v>
      </c>
      <c r="E178" s="59">
        <v>0</v>
      </c>
      <c r="F178" s="59">
        <v>0</v>
      </c>
      <c r="G178" s="58">
        <v>0</v>
      </c>
      <c r="H178" s="58">
        <v>0</v>
      </c>
      <c r="I178" s="58">
        <v>0</v>
      </c>
      <c r="J178" s="118" t="str">
        <f>'2 lentelė'!L176</f>
        <v>263 922,88</v>
      </c>
      <c r="K178" s="58">
        <f>'2 lentelė'!Q176</f>
        <v>224334.44</v>
      </c>
      <c r="L178" s="58">
        <v>0</v>
      </c>
      <c r="M178" s="58">
        <v>0</v>
      </c>
      <c r="N178" s="58">
        <v>0</v>
      </c>
      <c r="O178" s="58">
        <v>0</v>
      </c>
      <c r="P178" s="58">
        <v>0</v>
      </c>
      <c r="Q178" s="58">
        <v>0</v>
      </c>
      <c r="R178" s="58">
        <v>263922.88</v>
      </c>
      <c r="S178" s="58">
        <v>224334.44</v>
      </c>
      <c r="T178" s="113"/>
      <c r="U178" s="113"/>
    </row>
    <row r="179" spans="2:21" s="5" customFormat="1" ht="114.75" hidden="1" x14ac:dyDescent="0.25">
      <c r="B179" s="88" t="s">
        <v>427</v>
      </c>
      <c r="C179" s="54" t="s">
        <v>428</v>
      </c>
      <c r="D179" s="59">
        <v>0</v>
      </c>
      <c r="E179" s="59">
        <v>0</v>
      </c>
      <c r="F179" s="59">
        <v>0</v>
      </c>
      <c r="G179" s="58">
        <v>0</v>
      </c>
      <c r="H179" s="58">
        <v>0</v>
      </c>
      <c r="I179" s="58">
        <v>0</v>
      </c>
      <c r="J179" s="58">
        <f>'2 lentelė'!L177</f>
        <v>797588.28</v>
      </c>
      <c r="K179" s="58">
        <f>'2 lentelė'!Q177</f>
        <v>636853.66999999993</v>
      </c>
      <c r="L179" s="58">
        <v>0</v>
      </c>
      <c r="M179" s="58">
        <v>0</v>
      </c>
      <c r="N179" s="58">
        <v>0</v>
      </c>
      <c r="O179" s="58">
        <v>0</v>
      </c>
      <c r="P179" s="58">
        <v>0</v>
      </c>
      <c r="Q179" s="58">
        <v>0</v>
      </c>
      <c r="R179" s="58">
        <f t="shared" si="82"/>
        <v>797588.28</v>
      </c>
      <c r="S179" s="58">
        <f t="shared" si="82"/>
        <v>636853.66999999993</v>
      </c>
      <c r="T179" s="113"/>
      <c r="U179" s="113"/>
    </row>
    <row r="180" spans="2:21" s="5" customFormat="1" ht="63.75" hidden="1" x14ac:dyDescent="0.25">
      <c r="B180" s="88" t="s">
        <v>429</v>
      </c>
      <c r="C180" s="54" t="s">
        <v>430</v>
      </c>
      <c r="D180" s="59">
        <v>0</v>
      </c>
      <c r="E180" s="59">
        <v>0</v>
      </c>
      <c r="F180" s="59">
        <v>0</v>
      </c>
      <c r="G180" s="58">
        <v>0</v>
      </c>
      <c r="H180" s="58">
        <v>0</v>
      </c>
      <c r="I180" s="58">
        <v>0</v>
      </c>
      <c r="J180" s="58">
        <f>'2 lentelė'!L178</f>
        <v>4000000</v>
      </c>
      <c r="K180" s="58">
        <f>'2 lentelė'!Q178</f>
        <v>3400000</v>
      </c>
      <c r="L180" s="58">
        <v>0</v>
      </c>
      <c r="M180" s="58">
        <v>0</v>
      </c>
      <c r="N180" s="58">
        <v>0</v>
      </c>
      <c r="O180" s="58">
        <v>0</v>
      </c>
      <c r="P180" s="58">
        <v>0</v>
      </c>
      <c r="Q180" s="58">
        <v>0</v>
      </c>
      <c r="R180" s="58">
        <f t="shared" si="82"/>
        <v>4000000</v>
      </c>
      <c r="S180" s="58">
        <f t="shared" si="82"/>
        <v>3400000</v>
      </c>
      <c r="T180" s="113"/>
      <c r="U180" s="113"/>
    </row>
    <row r="181" spans="2:21" s="5" customFormat="1" ht="51" hidden="1" x14ac:dyDescent="0.25">
      <c r="B181" s="88" t="s">
        <v>431</v>
      </c>
      <c r="C181" s="54" t="s">
        <v>432</v>
      </c>
      <c r="D181" s="59">
        <v>0</v>
      </c>
      <c r="E181" s="59">
        <v>0</v>
      </c>
      <c r="F181" s="59">
        <v>0</v>
      </c>
      <c r="G181" s="58">
        <v>0</v>
      </c>
      <c r="H181" s="58">
        <v>0</v>
      </c>
      <c r="I181" s="58">
        <v>0</v>
      </c>
      <c r="J181" s="58">
        <f>'2 lentelė'!L179</f>
        <v>30195</v>
      </c>
      <c r="K181" s="58">
        <f>'2 lentelė'!Q179</f>
        <v>25665</v>
      </c>
      <c r="L181" s="58">
        <v>0</v>
      </c>
      <c r="M181" s="58">
        <v>0</v>
      </c>
      <c r="N181" s="58">
        <v>0</v>
      </c>
      <c r="O181" s="58">
        <v>0</v>
      </c>
      <c r="P181" s="58">
        <v>0</v>
      </c>
      <c r="Q181" s="58">
        <v>0</v>
      </c>
      <c r="R181" s="58">
        <v>30195</v>
      </c>
      <c r="S181" s="58">
        <v>25665</v>
      </c>
      <c r="T181" s="113"/>
      <c r="U181" s="113"/>
    </row>
    <row r="182" spans="2:21" s="5" customFormat="1" ht="25.5" hidden="1" x14ac:dyDescent="0.25">
      <c r="B182" s="117" t="s">
        <v>433</v>
      </c>
      <c r="C182" s="37" t="s">
        <v>434</v>
      </c>
      <c r="D182" s="117">
        <v>0</v>
      </c>
      <c r="E182" s="117">
        <v>0</v>
      </c>
      <c r="F182" s="117">
        <v>0</v>
      </c>
      <c r="G182" s="37">
        <v>0</v>
      </c>
      <c r="H182" s="117">
        <f>SUM(H183)</f>
        <v>0</v>
      </c>
      <c r="I182" s="117">
        <f t="shared" ref="I182:R182" si="83">SUM(I183)</f>
        <v>0</v>
      </c>
      <c r="J182" s="117">
        <f t="shared" si="83"/>
        <v>412234</v>
      </c>
      <c r="K182" s="37">
        <f t="shared" si="83"/>
        <v>350398</v>
      </c>
      <c r="L182" s="117">
        <f t="shared" si="83"/>
        <v>637757.47</v>
      </c>
      <c r="M182" s="117">
        <f t="shared" si="83"/>
        <v>542093</v>
      </c>
      <c r="N182" s="117">
        <f t="shared" si="83"/>
        <v>70000</v>
      </c>
      <c r="O182" s="37">
        <f t="shared" si="83"/>
        <v>59500</v>
      </c>
      <c r="P182" s="117">
        <f t="shared" si="83"/>
        <v>0</v>
      </c>
      <c r="Q182" s="117">
        <f t="shared" si="83"/>
        <v>0</v>
      </c>
      <c r="R182" s="117">
        <f t="shared" si="83"/>
        <v>1119991.47</v>
      </c>
      <c r="S182" s="37">
        <f>S183</f>
        <v>951991</v>
      </c>
      <c r="T182" s="113"/>
      <c r="U182" s="113"/>
    </row>
    <row r="183" spans="2:21" s="5" customFormat="1" ht="51" hidden="1" x14ac:dyDescent="0.25">
      <c r="B183" s="60" t="s">
        <v>435</v>
      </c>
      <c r="C183" s="60" t="s">
        <v>436</v>
      </c>
      <c r="D183" s="60">
        <f t="shared" ref="D183:R183" si="84">SUM(D184:D190)</f>
        <v>0</v>
      </c>
      <c r="E183" s="60">
        <f t="shared" si="84"/>
        <v>0</v>
      </c>
      <c r="F183" s="60">
        <f t="shared" si="84"/>
        <v>0</v>
      </c>
      <c r="G183" s="60">
        <f t="shared" si="84"/>
        <v>0</v>
      </c>
      <c r="H183" s="60">
        <f t="shared" si="84"/>
        <v>0</v>
      </c>
      <c r="I183" s="60">
        <f t="shared" si="84"/>
        <v>0</v>
      </c>
      <c r="J183" s="60">
        <f t="shared" si="84"/>
        <v>412234</v>
      </c>
      <c r="K183" s="60">
        <f t="shared" si="84"/>
        <v>350398</v>
      </c>
      <c r="L183" s="60">
        <f t="shared" si="84"/>
        <v>637757.47</v>
      </c>
      <c r="M183" s="60">
        <f t="shared" si="84"/>
        <v>542093</v>
      </c>
      <c r="N183" s="60">
        <f t="shared" si="84"/>
        <v>70000</v>
      </c>
      <c r="O183" s="60">
        <f t="shared" si="84"/>
        <v>59500</v>
      </c>
      <c r="P183" s="60">
        <f t="shared" si="84"/>
        <v>0</v>
      </c>
      <c r="Q183" s="60">
        <f t="shared" si="84"/>
        <v>0</v>
      </c>
      <c r="R183" s="60">
        <f t="shared" si="84"/>
        <v>1119991.47</v>
      </c>
      <c r="S183" s="60">
        <f>SUM(S184:S190)</f>
        <v>951991</v>
      </c>
      <c r="T183" s="113"/>
      <c r="U183" s="113"/>
    </row>
    <row r="184" spans="2:21" s="5" customFormat="1" ht="51" hidden="1" x14ac:dyDescent="0.25">
      <c r="B184" s="88" t="s">
        <v>437</v>
      </c>
      <c r="C184" s="54" t="s">
        <v>438</v>
      </c>
      <c r="D184" s="59">
        <v>0</v>
      </c>
      <c r="E184" s="59">
        <v>0</v>
      </c>
      <c r="F184" s="59">
        <v>0</v>
      </c>
      <c r="G184" s="58">
        <v>0</v>
      </c>
      <c r="H184" s="58">
        <v>0</v>
      </c>
      <c r="I184" s="58">
        <v>0</v>
      </c>
      <c r="J184" s="58">
        <f>'2 lentelė'!L182</f>
        <v>188236</v>
      </c>
      <c r="K184" s="58">
        <f>'2 lentelė'!Q182</f>
        <v>160000</v>
      </c>
      <c r="L184" s="58">
        <v>0</v>
      </c>
      <c r="M184" s="58">
        <v>0</v>
      </c>
      <c r="N184" s="58">
        <v>0</v>
      </c>
      <c r="O184" s="58">
        <v>0</v>
      </c>
      <c r="P184" s="58">
        <v>0</v>
      </c>
      <c r="Q184" s="58">
        <v>0</v>
      </c>
      <c r="R184" s="58">
        <f t="shared" ref="R184:S189" si="85">D184+F184+H184+J184+L184+N184+P184</f>
        <v>188236</v>
      </c>
      <c r="S184" s="58">
        <f t="shared" si="85"/>
        <v>160000</v>
      </c>
      <c r="T184" s="113"/>
      <c r="U184" s="113"/>
    </row>
    <row r="185" spans="2:21" s="5" customFormat="1" ht="51" hidden="1" x14ac:dyDescent="0.25">
      <c r="B185" s="88" t="s">
        <v>439</v>
      </c>
      <c r="C185" s="54" t="s">
        <v>440</v>
      </c>
      <c r="D185" s="59">
        <v>0</v>
      </c>
      <c r="E185" s="59">
        <v>0</v>
      </c>
      <c r="F185" s="59">
        <v>0</v>
      </c>
      <c r="G185" s="58">
        <v>0</v>
      </c>
      <c r="H185" s="58">
        <v>0</v>
      </c>
      <c r="I185" s="58">
        <v>0</v>
      </c>
      <c r="J185" s="58">
        <v>0</v>
      </c>
      <c r="K185" s="58">
        <v>0</v>
      </c>
      <c r="L185" s="58">
        <f>'2 lentelė'!L183</f>
        <v>186665</v>
      </c>
      <c r="M185" s="58">
        <f>'2 lentelė'!Q183</f>
        <v>158665</v>
      </c>
      <c r="N185" s="58">
        <v>0</v>
      </c>
      <c r="O185" s="58">
        <v>0</v>
      </c>
      <c r="P185" s="58">
        <v>0</v>
      </c>
      <c r="Q185" s="58">
        <v>0</v>
      </c>
      <c r="R185" s="58">
        <f t="shared" si="85"/>
        <v>186665</v>
      </c>
      <c r="S185" s="58">
        <f t="shared" si="85"/>
        <v>158665</v>
      </c>
      <c r="T185" s="113"/>
      <c r="U185" s="113"/>
    </row>
    <row r="186" spans="2:21" s="5" customFormat="1" ht="51" hidden="1" x14ac:dyDescent="0.25">
      <c r="B186" s="88" t="s">
        <v>441</v>
      </c>
      <c r="C186" s="54" t="s">
        <v>442</v>
      </c>
      <c r="D186" s="59">
        <v>0</v>
      </c>
      <c r="E186" s="59">
        <v>0</v>
      </c>
      <c r="F186" s="59">
        <v>0</v>
      </c>
      <c r="G186" s="58">
        <v>0</v>
      </c>
      <c r="H186" s="58">
        <v>0</v>
      </c>
      <c r="I186" s="58">
        <v>0</v>
      </c>
      <c r="J186" s="58">
        <f>'2 lentelė'!L184</f>
        <v>223998</v>
      </c>
      <c r="K186" s="58">
        <f>'2 lentelė'!Q184</f>
        <v>190398</v>
      </c>
      <c r="L186" s="58">
        <v>0</v>
      </c>
      <c r="M186" s="58">
        <v>0</v>
      </c>
      <c r="N186" s="58">
        <v>0</v>
      </c>
      <c r="O186" s="58">
        <v>0</v>
      </c>
      <c r="P186" s="58">
        <v>0</v>
      </c>
      <c r="Q186" s="58">
        <v>0</v>
      </c>
      <c r="R186" s="58">
        <f t="shared" si="85"/>
        <v>223998</v>
      </c>
      <c r="S186" s="58">
        <f t="shared" si="85"/>
        <v>190398</v>
      </c>
      <c r="T186" s="113"/>
      <c r="U186" s="113"/>
    </row>
    <row r="187" spans="2:21" s="5" customFormat="1" ht="63.75" hidden="1" x14ac:dyDescent="0.25">
      <c r="B187" s="88" t="s">
        <v>443</v>
      </c>
      <c r="C187" s="54" t="s">
        <v>444</v>
      </c>
      <c r="D187" s="59">
        <v>0</v>
      </c>
      <c r="E187" s="59">
        <v>0</v>
      </c>
      <c r="F187" s="59">
        <v>0</v>
      </c>
      <c r="G187" s="58">
        <v>0</v>
      </c>
      <c r="H187" s="58">
        <v>0</v>
      </c>
      <c r="I187" s="58">
        <v>0</v>
      </c>
      <c r="J187" s="58">
        <v>0</v>
      </c>
      <c r="K187" s="58">
        <v>0</v>
      </c>
      <c r="L187" s="58">
        <f>'2 lentelė'!L185</f>
        <v>116665</v>
      </c>
      <c r="M187" s="58">
        <f>'2 lentelė'!Q185</f>
        <v>99165</v>
      </c>
      <c r="N187" s="58">
        <v>0</v>
      </c>
      <c r="O187" s="58">
        <v>0</v>
      </c>
      <c r="P187" s="58">
        <v>0</v>
      </c>
      <c r="Q187" s="58">
        <v>0</v>
      </c>
      <c r="R187" s="58">
        <f t="shared" si="85"/>
        <v>116665</v>
      </c>
      <c r="S187" s="58">
        <f t="shared" si="85"/>
        <v>99165</v>
      </c>
      <c r="T187" s="113"/>
      <c r="U187" s="113"/>
    </row>
    <row r="188" spans="2:21" s="5" customFormat="1" ht="51" hidden="1" x14ac:dyDescent="0.25">
      <c r="B188" s="88" t="s">
        <v>445</v>
      </c>
      <c r="C188" s="54" t="s">
        <v>446</v>
      </c>
      <c r="D188" s="59">
        <v>0</v>
      </c>
      <c r="E188" s="59">
        <v>0</v>
      </c>
      <c r="F188" s="59">
        <v>0</v>
      </c>
      <c r="G188" s="58">
        <v>0</v>
      </c>
      <c r="H188" s="58">
        <v>0</v>
      </c>
      <c r="I188" s="58">
        <v>0</v>
      </c>
      <c r="J188" s="58">
        <v>0</v>
      </c>
      <c r="K188" s="58">
        <v>0</v>
      </c>
      <c r="L188" s="58">
        <f>'2 lentelė'!L186</f>
        <v>176471</v>
      </c>
      <c r="M188" s="58">
        <f>'2 lentelė'!Q186</f>
        <v>150000</v>
      </c>
      <c r="N188" s="58">
        <v>0</v>
      </c>
      <c r="O188" s="58">
        <v>0</v>
      </c>
      <c r="P188" s="58">
        <v>0</v>
      </c>
      <c r="Q188" s="58">
        <v>0</v>
      </c>
      <c r="R188" s="58">
        <f t="shared" si="85"/>
        <v>176471</v>
      </c>
      <c r="S188" s="58">
        <f t="shared" si="85"/>
        <v>150000</v>
      </c>
      <c r="T188" s="113"/>
      <c r="U188" s="113"/>
    </row>
    <row r="189" spans="2:21" s="5" customFormat="1" ht="51" hidden="1" x14ac:dyDescent="0.25">
      <c r="B189" s="88" t="s">
        <v>447</v>
      </c>
      <c r="C189" s="54" t="s">
        <v>448</v>
      </c>
      <c r="D189" s="59">
        <v>0</v>
      </c>
      <c r="E189" s="59">
        <v>0</v>
      </c>
      <c r="F189" s="59">
        <v>0</v>
      </c>
      <c r="G189" s="58">
        <v>0</v>
      </c>
      <c r="H189" s="58">
        <v>0</v>
      </c>
      <c r="I189" s="58">
        <v>0</v>
      </c>
      <c r="J189" s="58">
        <v>0</v>
      </c>
      <c r="K189" s="58">
        <v>0</v>
      </c>
      <c r="L189" s="58">
        <f>'2 lentelė'!L187</f>
        <v>157956.47</v>
      </c>
      <c r="M189" s="58">
        <f>'2 lentelė'!Q187</f>
        <v>134263</v>
      </c>
      <c r="N189" s="58">
        <v>0</v>
      </c>
      <c r="O189" s="58">
        <v>0</v>
      </c>
      <c r="P189" s="58">
        <v>0</v>
      </c>
      <c r="Q189" s="58">
        <v>0</v>
      </c>
      <c r="R189" s="58">
        <f t="shared" si="85"/>
        <v>157956.47</v>
      </c>
      <c r="S189" s="58">
        <f t="shared" si="85"/>
        <v>134263</v>
      </c>
      <c r="T189" s="113"/>
      <c r="U189" s="113"/>
    </row>
    <row r="190" spans="2:21" ht="63.75" hidden="1" x14ac:dyDescent="0.25">
      <c r="B190" s="88" t="s">
        <v>449</v>
      </c>
      <c r="C190" s="54" t="s">
        <v>450</v>
      </c>
      <c r="D190" s="59">
        <v>0</v>
      </c>
      <c r="E190" s="59">
        <v>0</v>
      </c>
      <c r="F190" s="59">
        <v>0</v>
      </c>
      <c r="G190" s="58">
        <v>0</v>
      </c>
      <c r="H190" s="58">
        <v>0</v>
      </c>
      <c r="I190" s="58">
        <v>0</v>
      </c>
      <c r="J190" s="58">
        <v>0</v>
      </c>
      <c r="K190" s="58">
        <v>0</v>
      </c>
      <c r="L190" s="58">
        <v>0</v>
      </c>
      <c r="M190" s="58">
        <v>0</v>
      </c>
      <c r="N190" s="58">
        <f>'2 lentelė'!L188</f>
        <v>70000</v>
      </c>
      <c r="O190" s="58">
        <f>'2 lentelė'!Q188</f>
        <v>59500</v>
      </c>
      <c r="P190" s="58">
        <v>0</v>
      </c>
      <c r="Q190" s="58">
        <v>0</v>
      </c>
      <c r="R190" s="58">
        <v>70000</v>
      </c>
      <c r="S190" s="58">
        <v>59500</v>
      </c>
      <c r="T190" s="53" t="s">
        <v>292</v>
      </c>
      <c r="U190" s="53"/>
    </row>
    <row r="191" spans="2:21" ht="15.75" customHeight="1" x14ac:dyDescent="0.25">
      <c r="B191" s="119"/>
      <c r="C191" s="119"/>
      <c r="D191" s="164" t="s">
        <v>23</v>
      </c>
      <c r="E191" s="165"/>
      <c r="F191" s="166"/>
      <c r="G191" s="119"/>
      <c r="H191" s="119"/>
      <c r="I191" s="119"/>
      <c r="J191" s="119"/>
      <c r="K191" s="119"/>
      <c r="L191" s="119"/>
      <c r="M191" s="119"/>
      <c r="N191" s="119"/>
      <c r="O191" s="119"/>
      <c r="P191" s="119"/>
      <c r="Q191" s="119"/>
      <c r="R191" s="119"/>
      <c r="S191" s="119"/>
      <c r="T191" s="53"/>
      <c r="U191" s="53"/>
    </row>
    <row r="192" spans="2:21" ht="38.25" customHeight="1" x14ac:dyDescent="0.25">
      <c r="B192" s="119"/>
      <c r="C192" s="119"/>
      <c r="D192" s="167">
        <v>2014</v>
      </c>
      <c r="E192" s="168"/>
      <c r="F192" s="167">
        <v>2015</v>
      </c>
      <c r="G192" s="168"/>
      <c r="H192" s="167">
        <v>2016</v>
      </c>
      <c r="I192" s="168"/>
      <c r="J192" s="167">
        <v>2017</v>
      </c>
      <c r="K192" s="168"/>
      <c r="L192" s="167">
        <v>2018</v>
      </c>
      <c r="M192" s="168"/>
      <c r="N192" s="167">
        <v>2019</v>
      </c>
      <c r="O192" s="168"/>
      <c r="P192" s="167">
        <v>2020</v>
      </c>
      <c r="Q192" s="168"/>
      <c r="R192" s="158" t="s">
        <v>9</v>
      </c>
      <c r="S192" s="159"/>
      <c r="T192" s="53"/>
      <c r="U192" s="53"/>
    </row>
    <row r="193" spans="2:21" ht="15.75" x14ac:dyDescent="0.25">
      <c r="B193" s="119"/>
      <c r="C193" s="119"/>
      <c r="D193" s="120" t="s">
        <v>12</v>
      </c>
      <c r="E193" s="120" t="s">
        <v>13</v>
      </c>
      <c r="F193" s="120" t="s">
        <v>12</v>
      </c>
      <c r="G193" s="120" t="s">
        <v>13</v>
      </c>
      <c r="H193" s="120" t="s">
        <v>12</v>
      </c>
      <c r="I193" s="120" t="s">
        <v>13</v>
      </c>
      <c r="J193" s="120" t="s">
        <v>12</v>
      </c>
      <c r="K193" s="120" t="s">
        <v>13</v>
      </c>
      <c r="L193" s="120" t="s">
        <v>12</v>
      </c>
      <c r="M193" s="120" t="s">
        <v>13</v>
      </c>
      <c r="N193" s="120" t="s">
        <v>12</v>
      </c>
      <c r="O193" s="120" t="s">
        <v>13</v>
      </c>
      <c r="P193" s="120" t="s">
        <v>12</v>
      </c>
      <c r="Q193" s="120" t="s">
        <v>13</v>
      </c>
      <c r="R193" s="120" t="s">
        <v>12</v>
      </c>
      <c r="S193" s="120" t="s">
        <v>13</v>
      </c>
      <c r="T193" s="53"/>
      <c r="U193" s="53"/>
    </row>
    <row r="194" spans="2:21" ht="15.75" x14ac:dyDescent="0.25">
      <c r="B194" s="119"/>
      <c r="C194" s="119"/>
      <c r="D194" s="59">
        <f t="shared" ref="D194:S194" si="86">D10+D67+D121</f>
        <v>0</v>
      </c>
      <c r="E194" s="59">
        <f t="shared" si="86"/>
        <v>0</v>
      </c>
      <c r="F194" s="59">
        <f t="shared" si="86"/>
        <v>0</v>
      </c>
      <c r="G194" s="59">
        <f t="shared" si="86"/>
        <v>0</v>
      </c>
      <c r="H194" s="59">
        <f t="shared" si="86"/>
        <v>43540839.210000001</v>
      </c>
      <c r="I194" s="59">
        <f t="shared" si="86"/>
        <v>10286763.120000001</v>
      </c>
      <c r="J194" s="59">
        <f t="shared" si="86"/>
        <v>27158484.120000001</v>
      </c>
      <c r="K194" s="59">
        <f t="shared" si="86"/>
        <v>22620016.460000001</v>
      </c>
      <c r="L194" s="59">
        <f t="shared" si="86"/>
        <v>13413072.199999999</v>
      </c>
      <c r="M194" s="59">
        <f t="shared" si="86"/>
        <v>10133393.390000001</v>
      </c>
      <c r="N194" s="59">
        <f t="shared" si="86"/>
        <v>11557786.01</v>
      </c>
      <c r="O194" s="59">
        <f t="shared" si="86"/>
        <v>8589763.9400000013</v>
      </c>
      <c r="P194" s="59">
        <f t="shared" si="86"/>
        <v>1079109.9300000002</v>
      </c>
      <c r="Q194" s="59">
        <f t="shared" si="86"/>
        <v>436398.04</v>
      </c>
      <c r="R194" s="59">
        <f t="shared" si="86"/>
        <v>97739216.349999994</v>
      </c>
      <c r="S194" s="59">
        <f t="shared" si="86"/>
        <v>52066334.949999996</v>
      </c>
    </row>
    <row r="195" spans="2:21" ht="15.75" x14ac:dyDescent="0.25">
      <c r="B195" s="64"/>
      <c r="C195" s="53"/>
      <c r="D195" s="53"/>
      <c r="E195" s="53"/>
      <c r="F195" s="53"/>
      <c r="G195" s="53"/>
      <c r="H195" s="53"/>
      <c r="I195" s="53"/>
      <c r="J195" s="53"/>
      <c r="K195" s="53"/>
      <c r="L195" s="53"/>
      <c r="M195" s="53"/>
      <c r="N195" s="53"/>
      <c r="O195" s="53"/>
      <c r="P195" s="53"/>
      <c r="Q195" s="53"/>
      <c r="R195" s="53"/>
      <c r="S195" s="53"/>
    </row>
    <row r="196" spans="2:21" x14ac:dyDescent="0.25">
      <c r="E196" s="5"/>
      <c r="F196" s="5"/>
      <c r="G196" s="5"/>
      <c r="H196" s="5"/>
      <c r="I196" s="5"/>
      <c r="J196" s="5"/>
      <c r="K196" s="5"/>
      <c r="L196" s="5"/>
      <c r="M196" s="5"/>
      <c r="N196" s="5"/>
      <c r="O196" s="5"/>
      <c r="P196" s="5"/>
      <c r="Q196" s="5"/>
      <c r="R196" s="5"/>
      <c r="S196" s="5"/>
    </row>
    <row r="197" spans="2:21" ht="15.75" x14ac:dyDescent="0.25">
      <c r="B197" s="1"/>
      <c r="D197" s="5"/>
      <c r="E197" s="5"/>
      <c r="F197" s="5"/>
      <c r="G197" s="5"/>
      <c r="H197" s="5"/>
      <c r="I197" s="5"/>
      <c r="J197" s="5"/>
      <c r="K197" s="5"/>
      <c r="L197" s="5"/>
      <c r="M197" s="5"/>
      <c r="N197" s="5"/>
      <c r="O197" s="5"/>
      <c r="P197" s="5"/>
      <c r="Q197" s="5"/>
      <c r="R197" s="5"/>
      <c r="S197" s="5"/>
    </row>
    <row r="198" spans="2:21" ht="15.75" x14ac:dyDescent="0.25">
      <c r="B198" s="3"/>
      <c r="C198" s="3"/>
      <c r="D198" s="3"/>
      <c r="E198" s="4"/>
      <c r="F198" s="4"/>
      <c r="G198" s="3"/>
    </row>
    <row r="199" spans="2:21" ht="15.75" x14ac:dyDescent="0.25">
      <c r="B199" s="3"/>
      <c r="C199" s="3"/>
      <c r="D199" s="3"/>
      <c r="E199" s="4"/>
      <c r="F199" s="4"/>
      <c r="G199" s="3"/>
    </row>
    <row r="200" spans="2:21" ht="15.75" x14ac:dyDescent="0.25">
      <c r="B200" s="3"/>
      <c r="C200" s="3"/>
      <c r="D200" s="3"/>
      <c r="E200" s="4"/>
      <c r="F200" s="4"/>
      <c r="G200" s="3"/>
    </row>
    <row r="201" spans="2:21" ht="15.75" x14ac:dyDescent="0.25">
      <c r="B201" s="3"/>
      <c r="C201" s="3"/>
      <c r="D201" s="3"/>
      <c r="E201" s="4"/>
      <c r="F201" s="4"/>
      <c r="G201" s="3"/>
    </row>
    <row r="202" spans="2:21" ht="15.75" x14ac:dyDescent="0.25">
      <c r="B202" s="3"/>
      <c r="C202" s="3"/>
      <c r="D202" s="3"/>
      <c r="E202" s="4"/>
      <c r="F202" s="4"/>
      <c r="G202" s="3"/>
    </row>
    <row r="203" spans="2:21" ht="15.75" x14ac:dyDescent="0.25">
      <c r="B203" s="3"/>
      <c r="C203" s="3"/>
      <c r="D203" s="3"/>
      <c r="E203" s="4"/>
      <c r="F203" s="4"/>
      <c r="G203" s="3"/>
    </row>
    <row r="204" spans="2:21" ht="15.75" x14ac:dyDescent="0.25">
      <c r="B204" s="3"/>
      <c r="C204" s="3"/>
      <c r="D204" s="3"/>
      <c r="E204" s="4"/>
      <c r="F204" s="4"/>
      <c r="G204" s="3"/>
    </row>
    <row r="205" spans="2:21" ht="15.75" x14ac:dyDescent="0.25">
      <c r="B205" s="3"/>
      <c r="C205" s="3"/>
      <c r="D205" s="3"/>
      <c r="E205" s="4"/>
      <c r="F205" s="4"/>
      <c r="G205" s="3"/>
    </row>
    <row r="206" spans="2:21" ht="15.75" x14ac:dyDescent="0.25">
      <c r="B206" s="3"/>
      <c r="C206" s="3"/>
      <c r="D206" s="3"/>
      <c r="E206" s="4"/>
      <c r="F206" s="4"/>
      <c r="G206" s="3"/>
    </row>
    <row r="207" spans="2:21" ht="15.75" x14ac:dyDescent="0.25">
      <c r="B207" s="3"/>
      <c r="C207" s="3"/>
      <c r="D207" s="3"/>
      <c r="E207" s="4"/>
      <c r="F207" s="4"/>
      <c r="G207" s="3"/>
    </row>
    <row r="208" spans="2:21" ht="15.75" x14ac:dyDescent="0.25">
      <c r="B208" s="3"/>
      <c r="C208" s="3"/>
      <c r="D208" s="3"/>
      <c r="E208" s="4"/>
      <c r="F208" s="4"/>
      <c r="G208" s="3"/>
    </row>
    <row r="209" spans="2:7" ht="15.75" x14ac:dyDescent="0.25">
      <c r="B209" s="3"/>
      <c r="C209" s="3"/>
      <c r="D209" s="3"/>
      <c r="E209" s="4"/>
      <c r="F209" s="4"/>
      <c r="G209" s="3"/>
    </row>
    <row r="210" spans="2:7" ht="15.75" x14ac:dyDescent="0.25">
      <c r="B210" s="3"/>
      <c r="C210" s="3"/>
      <c r="D210" s="3"/>
      <c r="E210" s="4"/>
      <c r="F210" s="4"/>
      <c r="G210" s="3"/>
    </row>
    <row r="211" spans="2:7" ht="15.75" x14ac:dyDescent="0.25">
      <c r="B211" s="3"/>
      <c r="C211" s="3"/>
      <c r="D211" s="3"/>
      <c r="E211" s="4"/>
      <c r="F211" s="4"/>
      <c r="G211" s="3"/>
    </row>
    <row r="212" spans="2:7" ht="15.75" x14ac:dyDescent="0.25">
      <c r="B212" s="3"/>
      <c r="C212" s="3"/>
      <c r="D212" s="3"/>
      <c r="E212" s="4"/>
      <c r="F212" s="4"/>
      <c r="G212" s="3"/>
    </row>
    <row r="213" spans="2:7" ht="15.75" x14ac:dyDescent="0.25">
      <c r="B213" s="3"/>
      <c r="C213" s="3"/>
      <c r="D213" s="3"/>
      <c r="E213" s="4"/>
      <c r="F213" s="4"/>
      <c r="G213" s="3"/>
    </row>
    <row r="214" spans="2:7" ht="15.75" x14ac:dyDescent="0.25">
      <c r="B214" s="3"/>
      <c r="C214" s="3"/>
      <c r="D214" s="3"/>
      <c r="E214" s="4"/>
      <c r="F214" s="4"/>
      <c r="G214" s="3"/>
    </row>
    <row r="215" spans="2:7" x14ac:dyDescent="0.25">
      <c r="B215" s="4"/>
      <c r="C215" s="4"/>
      <c r="D215" s="4"/>
      <c r="E215" s="4"/>
      <c r="F215" s="4"/>
      <c r="G215" s="4"/>
    </row>
  </sheetData>
  <mergeCells count="21">
    <mergeCell ref="R192:S192"/>
    <mergeCell ref="B5:S5"/>
    <mergeCell ref="P1:S1"/>
    <mergeCell ref="P2:S2"/>
    <mergeCell ref="P3:S3"/>
    <mergeCell ref="P8:Q8"/>
    <mergeCell ref="R8:S8"/>
    <mergeCell ref="D191:F191"/>
    <mergeCell ref="D192:E192"/>
    <mergeCell ref="F192:G192"/>
    <mergeCell ref="H192:I192"/>
    <mergeCell ref="J192:K192"/>
    <mergeCell ref="L192:M192"/>
    <mergeCell ref="N192:O192"/>
    <mergeCell ref="P192:Q192"/>
    <mergeCell ref="D8:E8"/>
    <mergeCell ref="F8:G8"/>
    <mergeCell ref="H8:I8"/>
    <mergeCell ref="J8:K8"/>
    <mergeCell ref="L8:M8"/>
    <mergeCell ref="N8:O8"/>
  </mergeCells>
  <pageMargins left="0.7" right="0.7" top="0.75" bottom="0.75" header="0.3" footer="0.3"/>
  <pageSetup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1"/>
  <sheetViews>
    <sheetView tabSelected="1" topLeftCell="B1" zoomScale="90" zoomScaleNormal="90" workbookViewId="0">
      <pane ySplit="6" topLeftCell="A80" activePane="bottomLeft" state="frozen"/>
      <selection pane="bottomLeft" activeCell="J201" sqref="J201"/>
    </sheetView>
  </sheetViews>
  <sheetFormatPr defaultRowHeight="15" x14ac:dyDescent="0.25"/>
  <cols>
    <col min="1" max="1" width="4.42578125" style="5" customWidth="1"/>
    <col min="3" max="3" width="12.28515625" customWidth="1"/>
    <col min="4" max="4" width="15" customWidth="1"/>
    <col min="5" max="5" width="10.85546875" customWidth="1"/>
    <col min="6" max="6" width="12" customWidth="1"/>
    <col min="7" max="7" width="12.5703125" customWidth="1"/>
    <col min="8" max="8" width="12.42578125" customWidth="1"/>
    <col min="10" max="10" width="11" customWidth="1"/>
    <col min="11" max="11" width="12" customWidth="1"/>
    <col min="12" max="12" width="11.7109375" customWidth="1"/>
    <col min="13" max="13" width="12.7109375" customWidth="1"/>
    <col min="14" max="14" width="11.140625" bestFit="1" customWidth="1"/>
    <col min="15" max="15" width="10.42578125" customWidth="1"/>
    <col min="17" max="17" width="13.5703125" style="5" customWidth="1"/>
    <col min="18" max="18" width="9.140625" customWidth="1"/>
    <col min="19" max="19" width="12.140625" customWidth="1"/>
    <col min="20" max="20" width="12" customWidth="1"/>
    <col min="21" max="21" width="12.5703125" customWidth="1"/>
    <col min="22" max="22" width="11.140625" customWidth="1"/>
  </cols>
  <sheetData>
    <row r="1" spans="2:22" ht="15.75" x14ac:dyDescent="0.25">
      <c r="S1" s="161" t="s">
        <v>140</v>
      </c>
      <c r="T1" s="161"/>
      <c r="U1" s="161"/>
    </row>
    <row r="2" spans="2:22" ht="15.75" x14ac:dyDescent="0.25">
      <c r="S2" s="162" t="s">
        <v>24</v>
      </c>
      <c r="T2" s="162"/>
      <c r="U2" s="162"/>
    </row>
    <row r="3" spans="2:22" ht="15.75" x14ac:dyDescent="0.25">
      <c r="S3" s="162" t="s">
        <v>25</v>
      </c>
      <c r="T3" s="162"/>
      <c r="U3" s="162"/>
    </row>
    <row r="4" spans="2:22" ht="15.75" x14ac:dyDescent="0.25">
      <c r="B4" s="1" t="s">
        <v>26</v>
      </c>
      <c r="C4" s="5"/>
      <c r="D4" s="5"/>
      <c r="E4" s="5"/>
      <c r="F4" s="5"/>
      <c r="G4" s="5"/>
      <c r="H4" s="5"/>
      <c r="I4" s="5"/>
      <c r="J4" s="5"/>
      <c r="K4" s="5"/>
      <c r="L4" s="5"/>
      <c r="M4" s="5"/>
      <c r="N4" s="5"/>
      <c r="O4" s="5"/>
      <c r="P4" s="5"/>
      <c r="R4" s="5"/>
      <c r="S4" s="5"/>
      <c r="T4" s="5"/>
      <c r="U4" s="5"/>
      <c r="V4" s="5"/>
    </row>
    <row r="5" spans="2:22" ht="15" customHeight="1" x14ac:dyDescent="0.25">
      <c r="B5" s="170" t="s">
        <v>27</v>
      </c>
      <c r="C5" s="170"/>
      <c r="D5" s="170"/>
      <c r="E5" s="170"/>
      <c r="F5" s="170"/>
      <c r="G5" s="170"/>
      <c r="H5" s="170"/>
      <c r="I5" s="170"/>
      <c r="J5" s="170"/>
      <c r="K5" s="170"/>
      <c r="L5" s="171" t="s">
        <v>28</v>
      </c>
      <c r="M5" s="172"/>
      <c r="N5" s="172"/>
      <c r="O5" s="172"/>
      <c r="P5" s="172"/>
      <c r="Q5" s="172"/>
      <c r="R5" s="173"/>
      <c r="S5" s="171" t="s">
        <v>29</v>
      </c>
      <c r="T5" s="172"/>
      <c r="U5" s="172"/>
      <c r="V5" s="173"/>
    </row>
    <row r="6" spans="2:22" ht="84" x14ac:dyDescent="0.25">
      <c r="B6" s="15" t="s">
        <v>10</v>
      </c>
      <c r="C6" s="15" t="s">
        <v>135</v>
      </c>
      <c r="D6" s="15" t="s">
        <v>30</v>
      </c>
      <c r="E6" s="15" t="s">
        <v>144</v>
      </c>
      <c r="F6" s="15" t="s">
        <v>31</v>
      </c>
      <c r="G6" s="15" t="s">
        <v>32</v>
      </c>
      <c r="H6" s="16" t="s">
        <v>33</v>
      </c>
      <c r="I6" s="15" t="s">
        <v>34</v>
      </c>
      <c r="J6" s="15" t="s">
        <v>35</v>
      </c>
      <c r="K6" s="15" t="s">
        <v>36</v>
      </c>
      <c r="L6" s="15" t="s">
        <v>37</v>
      </c>
      <c r="M6" s="15" t="s">
        <v>38</v>
      </c>
      <c r="N6" s="15" t="s">
        <v>39</v>
      </c>
      <c r="O6" s="15" t="s">
        <v>40</v>
      </c>
      <c r="P6" s="15" t="s">
        <v>41</v>
      </c>
      <c r="Q6" s="24" t="s">
        <v>13</v>
      </c>
      <c r="R6" s="15" t="s">
        <v>143</v>
      </c>
      <c r="S6" s="33" t="s">
        <v>42</v>
      </c>
      <c r="T6" s="15" t="s">
        <v>43</v>
      </c>
      <c r="U6" s="15" t="s">
        <v>44</v>
      </c>
      <c r="V6" s="15" t="s">
        <v>45</v>
      </c>
    </row>
    <row r="7" spans="2:22" ht="67.5" hidden="1" customHeight="1" x14ac:dyDescent="0.25">
      <c r="B7" s="56" t="s">
        <v>14</v>
      </c>
      <c r="C7" s="56"/>
      <c r="D7" s="56" t="s">
        <v>949</v>
      </c>
      <c r="E7" s="56"/>
      <c r="F7" s="56"/>
      <c r="G7" s="56"/>
      <c r="H7" s="56"/>
      <c r="I7" s="56"/>
      <c r="J7" s="56"/>
      <c r="K7" s="56"/>
      <c r="L7" s="56"/>
      <c r="M7" s="56"/>
      <c r="N7" s="56"/>
      <c r="O7" s="56"/>
      <c r="P7" s="56"/>
      <c r="Q7" s="56"/>
      <c r="R7" s="56"/>
      <c r="S7" s="56"/>
      <c r="T7" s="56"/>
      <c r="U7" s="56"/>
      <c r="V7" s="56"/>
    </row>
    <row r="8" spans="2:22" ht="194.25" hidden="1" customHeight="1" x14ac:dyDescent="0.25">
      <c r="B8" s="10" t="s">
        <v>46</v>
      </c>
      <c r="C8" s="30"/>
      <c r="D8" s="39" t="s">
        <v>148</v>
      </c>
      <c r="E8" s="30"/>
      <c r="F8" s="10"/>
      <c r="G8" s="10"/>
      <c r="H8" s="30"/>
      <c r="I8" s="10"/>
      <c r="J8" s="30"/>
      <c r="K8" s="10"/>
      <c r="L8" s="10"/>
      <c r="M8" s="30"/>
      <c r="N8" s="10"/>
      <c r="O8" s="30"/>
      <c r="P8" s="10"/>
      <c r="Q8" s="10"/>
      <c r="R8" s="30"/>
      <c r="S8" s="10"/>
      <c r="T8" s="10"/>
      <c r="U8" s="10"/>
      <c r="V8" s="30"/>
    </row>
    <row r="9" spans="2:22" ht="114.75" hidden="1" x14ac:dyDescent="0.25">
      <c r="B9" s="11" t="s">
        <v>48</v>
      </c>
      <c r="C9" s="25"/>
      <c r="D9" s="25" t="s">
        <v>149</v>
      </c>
      <c r="E9" s="25"/>
      <c r="F9" s="11"/>
      <c r="G9" s="25"/>
      <c r="H9" s="11"/>
      <c r="I9" s="25"/>
      <c r="J9" s="11"/>
      <c r="K9" s="25"/>
      <c r="L9" s="11"/>
      <c r="M9" s="25"/>
      <c r="N9" s="11"/>
      <c r="O9" s="25"/>
      <c r="P9" s="11"/>
      <c r="Q9" s="25"/>
      <c r="R9" s="11"/>
      <c r="S9" s="25"/>
      <c r="T9" s="25"/>
      <c r="U9" s="11"/>
      <c r="V9" s="25"/>
    </row>
    <row r="10" spans="2:22" ht="51" hidden="1" customHeight="1" x14ac:dyDescent="0.25">
      <c r="B10" s="27" t="s">
        <v>49</v>
      </c>
      <c r="C10" s="27"/>
      <c r="D10" s="27" t="s">
        <v>451</v>
      </c>
      <c r="E10" s="27"/>
      <c r="F10" s="27"/>
      <c r="G10" s="27"/>
      <c r="H10" s="27"/>
      <c r="I10" s="27"/>
      <c r="J10" s="27"/>
      <c r="K10" s="27"/>
      <c r="L10" s="27"/>
      <c r="M10" s="27"/>
      <c r="N10" s="27"/>
      <c r="O10" s="27"/>
      <c r="P10" s="27"/>
      <c r="Q10" s="27"/>
      <c r="R10" s="27"/>
      <c r="S10" s="27"/>
      <c r="T10" s="27"/>
      <c r="U10" s="27"/>
      <c r="V10" s="27"/>
    </row>
    <row r="11" spans="2:22" ht="65.25" hidden="1" customHeight="1" x14ac:dyDescent="0.25">
      <c r="B11" s="17" t="s">
        <v>50</v>
      </c>
      <c r="C11" s="17" t="s">
        <v>520</v>
      </c>
      <c r="D11" s="40" t="s">
        <v>151</v>
      </c>
      <c r="E11" s="40" t="s">
        <v>456</v>
      </c>
      <c r="F11" s="40" t="s">
        <v>457</v>
      </c>
      <c r="G11" s="40" t="s">
        <v>458</v>
      </c>
      <c r="H11" s="40" t="s">
        <v>459</v>
      </c>
      <c r="I11" s="40" t="s">
        <v>460</v>
      </c>
      <c r="J11" s="40" t="s">
        <v>461</v>
      </c>
      <c r="K11" s="40" t="s">
        <v>47</v>
      </c>
      <c r="L11" s="46">
        <v>1774839.96</v>
      </c>
      <c r="M11" s="46">
        <v>206248.95999999999</v>
      </c>
      <c r="N11" s="46">
        <v>127183.06</v>
      </c>
      <c r="O11" s="46">
        <v>0</v>
      </c>
      <c r="P11" s="46">
        <v>0</v>
      </c>
      <c r="Q11" s="46">
        <v>1441407.94</v>
      </c>
      <c r="R11" s="46">
        <v>0</v>
      </c>
      <c r="S11" s="114" t="s">
        <v>496</v>
      </c>
      <c r="T11" s="114" t="s">
        <v>478</v>
      </c>
      <c r="U11" s="114" t="s">
        <v>479</v>
      </c>
      <c r="V11" s="114">
        <v>2020</v>
      </c>
    </row>
    <row r="12" spans="2:22" ht="66.75" hidden="1" customHeight="1" x14ac:dyDescent="0.25">
      <c r="B12" s="17" t="s">
        <v>51</v>
      </c>
      <c r="C12" s="35" t="s">
        <v>521</v>
      </c>
      <c r="D12" s="40" t="s">
        <v>462</v>
      </c>
      <c r="E12" s="40" t="s">
        <v>456</v>
      </c>
      <c r="F12" s="40" t="s">
        <v>457</v>
      </c>
      <c r="G12" s="40" t="s">
        <v>463</v>
      </c>
      <c r="H12" s="40" t="s">
        <v>459</v>
      </c>
      <c r="I12" s="40" t="s">
        <v>460</v>
      </c>
      <c r="J12" s="40" t="s">
        <v>461</v>
      </c>
      <c r="K12" s="40" t="s">
        <v>47</v>
      </c>
      <c r="L12" s="46">
        <v>1142603.75</v>
      </c>
      <c r="M12" s="46">
        <v>183604.75</v>
      </c>
      <c r="N12" s="46">
        <v>77757</v>
      </c>
      <c r="O12" s="46">
        <v>0</v>
      </c>
      <c r="P12" s="46">
        <v>0</v>
      </c>
      <c r="Q12" s="46">
        <v>881242</v>
      </c>
      <c r="R12" s="46">
        <v>0</v>
      </c>
      <c r="S12" s="114" t="s">
        <v>497</v>
      </c>
      <c r="T12" s="114" t="s">
        <v>480</v>
      </c>
      <c r="U12" s="114" t="s">
        <v>481</v>
      </c>
      <c r="V12" s="114">
        <v>2019</v>
      </c>
    </row>
    <row r="13" spans="2:22" s="5" customFormat="1" ht="76.5" hidden="1" x14ac:dyDescent="0.25">
      <c r="B13" s="35" t="s">
        <v>153</v>
      </c>
      <c r="C13" s="35" t="s">
        <v>522</v>
      </c>
      <c r="D13" s="40" t="s">
        <v>154</v>
      </c>
      <c r="E13" s="40" t="s">
        <v>456</v>
      </c>
      <c r="F13" s="40" t="s">
        <v>457</v>
      </c>
      <c r="G13" s="40" t="s">
        <v>463</v>
      </c>
      <c r="H13" s="40" t="s">
        <v>459</v>
      </c>
      <c r="I13" s="40" t="s">
        <v>460</v>
      </c>
      <c r="J13" s="40" t="s">
        <v>461</v>
      </c>
      <c r="K13" s="40" t="s">
        <v>47</v>
      </c>
      <c r="L13" s="46">
        <v>672604.19</v>
      </c>
      <c r="M13" s="46">
        <v>50445.32</v>
      </c>
      <c r="N13" s="46">
        <v>50445.32</v>
      </c>
      <c r="O13" s="46">
        <v>0</v>
      </c>
      <c r="P13" s="46">
        <v>0</v>
      </c>
      <c r="Q13" s="46">
        <v>571713.55000000005</v>
      </c>
      <c r="R13" s="46">
        <v>0</v>
      </c>
      <c r="S13" s="114" t="s">
        <v>498</v>
      </c>
      <c r="T13" s="114" t="s">
        <v>482</v>
      </c>
      <c r="U13" s="114" t="s">
        <v>483</v>
      </c>
      <c r="V13" s="114">
        <v>2018</v>
      </c>
    </row>
    <row r="14" spans="2:22" s="5" customFormat="1" ht="63.75" hidden="1" customHeight="1" x14ac:dyDescent="0.25">
      <c r="B14" s="35" t="s">
        <v>452</v>
      </c>
      <c r="C14" s="35" t="s">
        <v>523</v>
      </c>
      <c r="D14" s="40" t="s">
        <v>464</v>
      </c>
      <c r="E14" s="40" t="s">
        <v>465</v>
      </c>
      <c r="F14" s="40" t="s">
        <v>466</v>
      </c>
      <c r="G14" s="40" t="s">
        <v>467</v>
      </c>
      <c r="H14" s="40" t="s">
        <v>459</v>
      </c>
      <c r="I14" s="40" t="s">
        <v>468</v>
      </c>
      <c r="J14" s="40" t="s">
        <v>469</v>
      </c>
      <c r="K14" s="40" t="s">
        <v>470</v>
      </c>
      <c r="L14" s="46">
        <v>1426434</v>
      </c>
      <c r="M14" s="46">
        <v>106983</v>
      </c>
      <c r="N14" s="46">
        <v>106983</v>
      </c>
      <c r="O14" s="46">
        <v>0</v>
      </c>
      <c r="P14" s="46">
        <v>0</v>
      </c>
      <c r="Q14" s="46">
        <v>1212468</v>
      </c>
      <c r="R14" s="46">
        <v>0</v>
      </c>
      <c r="S14" s="114" t="s">
        <v>492</v>
      </c>
      <c r="T14" s="114" t="s">
        <v>484</v>
      </c>
      <c r="U14" s="114" t="s">
        <v>485</v>
      </c>
      <c r="V14" s="114">
        <v>2022</v>
      </c>
    </row>
    <row r="15" spans="2:22" s="5" customFormat="1" ht="114.75" hidden="1" x14ac:dyDescent="0.25">
      <c r="B15" s="35" t="s">
        <v>157</v>
      </c>
      <c r="C15" s="35" t="s">
        <v>524</v>
      </c>
      <c r="D15" s="40" t="s">
        <v>158</v>
      </c>
      <c r="E15" s="40" t="s">
        <v>471</v>
      </c>
      <c r="F15" s="40" t="s">
        <v>457</v>
      </c>
      <c r="G15" s="40" t="s">
        <v>472</v>
      </c>
      <c r="H15" s="40" t="s">
        <v>459</v>
      </c>
      <c r="I15" s="40" t="s">
        <v>460</v>
      </c>
      <c r="J15" s="40" t="s">
        <v>461</v>
      </c>
      <c r="K15" s="40" t="s">
        <v>47</v>
      </c>
      <c r="L15" s="46">
        <v>985873.28</v>
      </c>
      <c r="M15" s="46">
        <v>450076.28</v>
      </c>
      <c r="N15" s="46">
        <v>43443</v>
      </c>
      <c r="O15" s="46">
        <v>0</v>
      </c>
      <c r="P15" s="46">
        <v>0</v>
      </c>
      <c r="Q15" s="46">
        <v>492354</v>
      </c>
      <c r="R15" s="46">
        <v>0</v>
      </c>
      <c r="S15" s="114">
        <v>2016</v>
      </c>
      <c r="T15" s="114" t="s">
        <v>486</v>
      </c>
      <c r="U15" s="114" t="s">
        <v>482</v>
      </c>
      <c r="V15" s="114">
        <v>2019</v>
      </c>
    </row>
    <row r="16" spans="2:22" s="5" customFormat="1" ht="66" hidden="1" customHeight="1" x14ac:dyDescent="0.25">
      <c r="B16" s="90" t="s">
        <v>159</v>
      </c>
      <c r="C16" s="96" t="s">
        <v>1026</v>
      </c>
      <c r="D16" s="89" t="s">
        <v>473</v>
      </c>
      <c r="E16" s="89" t="s">
        <v>471</v>
      </c>
      <c r="F16" s="89" t="s">
        <v>457</v>
      </c>
      <c r="G16" s="89" t="s">
        <v>472</v>
      </c>
      <c r="H16" s="89" t="s">
        <v>459</v>
      </c>
      <c r="I16" s="89" t="s">
        <v>460</v>
      </c>
      <c r="J16" s="89" t="s">
        <v>461</v>
      </c>
      <c r="K16" s="89" t="s">
        <v>47</v>
      </c>
      <c r="L16" s="89">
        <v>282353</v>
      </c>
      <c r="M16" s="89">
        <v>21177</v>
      </c>
      <c r="N16" s="89">
        <v>21176</v>
      </c>
      <c r="O16" s="89">
        <v>0</v>
      </c>
      <c r="P16" s="89">
        <v>0</v>
      </c>
      <c r="Q16" s="89">
        <v>240000</v>
      </c>
      <c r="R16" s="89">
        <v>0</v>
      </c>
      <c r="S16" s="91" t="s">
        <v>645</v>
      </c>
      <c r="T16" s="91" t="s">
        <v>487</v>
      </c>
      <c r="U16" s="91" t="s">
        <v>488</v>
      </c>
      <c r="V16" s="91">
        <v>2020</v>
      </c>
    </row>
    <row r="17" spans="2:24" s="87" customFormat="1" ht="68.25" hidden="1" customHeight="1" x14ac:dyDescent="0.25">
      <c r="B17" s="90" t="s">
        <v>161</v>
      </c>
      <c r="C17" s="90" t="s">
        <v>526</v>
      </c>
      <c r="D17" s="89" t="s">
        <v>162</v>
      </c>
      <c r="E17" s="89" t="s">
        <v>474</v>
      </c>
      <c r="F17" s="89" t="s">
        <v>466</v>
      </c>
      <c r="G17" s="89" t="s">
        <v>475</v>
      </c>
      <c r="H17" s="89" t="s">
        <v>459</v>
      </c>
      <c r="I17" s="89" t="s">
        <v>468</v>
      </c>
      <c r="J17" s="89" t="s">
        <v>469</v>
      </c>
      <c r="K17" s="89" t="s">
        <v>470</v>
      </c>
      <c r="L17" s="89">
        <v>827649.08</v>
      </c>
      <c r="M17" s="89">
        <v>62073.68</v>
      </c>
      <c r="N17" s="89">
        <v>62073.68</v>
      </c>
      <c r="O17" s="89">
        <v>0</v>
      </c>
      <c r="P17" s="89">
        <v>0</v>
      </c>
      <c r="Q17" s="89">
        <v>703501.72</v>
      </c>
      <c r="R17" s="89">
        <v>0</v>
      </c>
      <c r="S17" s="91" t="s">
        <v>494</v>
      </c>
      <c r="T17" s="91" t="s">
        <v>547</v>
      </c>
      <c r="U17" s="91" t="s">
        <v>488</v>
      </c>
      <c r="V17" s="91">
        <v>2020</v>
      </c>
    </row>
    <row r="18" spans="2:24" s="87" customFormat="1" ht="140.25" hidden="1" x14ac:dyDescent="0.25">
      <c r="B18" s="96" t="s">
        <v>163</v>
      </c>
      <c r="C18" s="96" t="s">
        <v>527</v>
      </c>
      <c r="D18" s="43" t="s">
        <v>164</v>
      </c>
      <c r="E18" s="43" t="s">
        <v>474</v>
      </c>
      <c r="F18" s="43" t="s">
        <v>466</v>
      </c>
      <c r="G18" s="43" t="s">
        <v>475</v>
      </c>
      <c r="H18" s="43" t="s">
        <v>459</v>
      </c>
      <c r="I18" s="43" t="s">
        <v>460</v>
      </c>
      <c r="J18" s="43" t="s">
        <v>461</v>
      </c>
      <c r="K18" s="43" t="s">
        <v>47</v>
      </c>
      <c r="L18" s="89">
        <v>633181</v>
      </c>
      <c r="M18" s="89">
        <v>52412</v>
      </c>
      <c r="N18" s="89">
        <v>52411</v>
      </c>
      <c r="O18" s="89">
        <v>0</v>
      </c>
      <c r="P18" s="89">
        <v>0</v>
      </c>
      <c r="Q18" s="89">
        <v>528358</v>
      </c>
      <c r="R18" s="89">
        <v>0</v>
      </c>
      <c r="S18" s="91" t="s">
        <v>499</v>
      </c>
      <c r="T18" s="91" t="s">
        <v>481</v>
      </c>
      <c r="U18" s="91" t="s">
        <v>491</v>
      </c>
      <c r="V18" s="91">
        <v>2019</v>
      </c>
      <c r="W18" s="98"/>
      <c r="X18" s="98"/>
    </row>
    <row r="19" spans="2:24" s="87" customFormat="1" ht="69.75" hidden="1" customHeight="1" x14ac:dyDescent="0.25">
      <c r="B19" s="96" t="s">
        <v>453</v>
      </c>
      <c r="C19" s="96" t="s">
        <v>501</v>
      </c>
      <c r="D19" s="43" t="s">
        <v>166</v>
      </c>
      <c r="E19" s="43" t="s">
        <v>471</v>
      </c>
      <c r="F19" s="43" t="s">
        <v>457</v>
      </c>
      <c r="G19" s="43" t="s">
        <v>472</v>
      </c>
      <c r="H19" s="43" t="s">
        <v>459</v>
      </c>
      <c r="I19" s="43" t="s">
        <v>460</v>
      </c>
      <c r="J19" s="43" t="s">
        <v>461</v>
      </c>
      <c r="K19" s="43" t="s">
        <v>47</v>
      </c>
      <c r="L19" s="89">
        <v>1137262.6599999999</v>
      </c>
      <c r="M19" s="89">
        <v>375497.66</v>
      </c>
      <c r="N19" s="89">
        <v>61765</v>
      </c>
      <c r="O19" s="89">
        <v>0</v>
      </c>
      <c r="P19" s="89">
        <v>0</v>
      </c>
      <c r="Q19" s="89">
        <v>700000</v>
      </c>
      <c r="R19" s="89">
        <v>0</v>
      </c>
      <c r="S19" s="91" t="s">
        <v>500</v>
      </c>
      <c r="T19" s="91" t="s">
        <v>478</v>
      </c>
      <c r="U19" s="91" t="s">
        <v>494</v>
      </c>
      <c r="V19" s="91">
        <v>2020</v>
      </c>
    </row>
    <row r="20" spans="2:24" s="87" customFormat="1" ht="69.75" hidden="1" customHeight="1" x14ac:dyDescent="0.25">
      <c r="B20" s="96" t="s">
        <v>454</v>
      </c>
      <c r="C20" s="96" t="s">
        <v>518</v>
      </c>
      <c r="D20" s="43" t="s">
        <v>476</v>
      </c>
      <c r="E20" s="43" t="s">
        <v>474</v>
      </c>
      <c r="F20" s="43" t="s">
        <v>466</v>
      </c>
      <c r="G20" s="43" t="s">
        <v>475</v>
      </c>
      <c r="H20" s="43" t="s">
        <v>459</v>
      </c>
      <c r="I20" s="43" t="s">
        <v>468</v>
      </c>
      <c r="J20" s="43" t="s">
        <v>469</v>
      </c>
      <c r="K20" s="43" t="s">
        <v>470</v>
      </c>
      <c r="L20" s="89">
        <v>1365071.92</v>
      </c>
      <c r="M20" s="89">
        <v>423204.92</v>
      </c>
      <c r="N20" s="89">
        <v>76367.600000000006</v>
      </c>
      <c r="O20" s="89">
        <v>0</v>
      </c>
      <c r="P20" s="89">
        <v>0</v>
      </c>
      <c r="Q20" s="89">
        <v>865499.4</v>
      </c>
      <c r="R20" s="89">
        <v>0</v>
      </c>
      <c r="S20" s="91" t="s">
        <v>483</v>
      </c>
      <c r="T20" s="91" t="s">
        <v>481</v>
      </c>
      <c r="U20" s="91" t="s">
        <v>491</v>
      </c>
      <c r="V20" s="91">
        <v>2020</v>
      </c>
    </row>
    <row r="21" spans="2:24" s="87" customFormat="1" ht="89.25" hidden="1" x14ac:dyDescent="0.25">
      <c r="B21" s="90" t="s">
        <v>169</v>
      </c>
      <c r="C21" s="90" t="s">
        <v>519</v>
      </c>
      <c r="D21" s="89" t="s">
        <v>170</v>
      </c>
      <c r="E21" s="89" t="s">
        <v>474</v>
      </c>
      <c r="F21" s="89" t="s">
        <v>466</v>
      </c>
      <c r="G21" s="89" t="s">
        <v>475</v>
      </c>
      <c r="H21" s="89" t="s">
        <v>459</v>
      </c>
      <c r="I21" s="89" t="s">
        <v>468</v>
      </c>
      <c r="J21" s="89" t="s">
        <v>469</v>
      </c>
      <c r="K21" s="89" t="s">
        <v>470</v>
      </c>
      <c r="L21" s="89">
        <v>299990</v>
      </c>
      <c r="M21" s="89">
        <v>22499.25</v>
      </c>
      <c r="N21" s="89">
        <v>22499.25</v>
      </c>
      <c r="O21" s="89">
        <v>0</v>
      </c>
      <c r="P21" s="89">
        <v>0</v>
      </c>
      <c r="Q21" s="89">
        <v>254991.5</v>
      </c>
      <c r="R21" s="89">
        <v>0</v>
      </c>
      <c r="S21" s="91" t="s">
        <v>494</v>
      </c>
      <c r="T21" s="91" t="s">
        <v>488</v>
      </c>
      <c r="U21" s="91">
        <v>2019.03</v>
      </c>
      <c r="V21" s="91">
        <v>2020</v>
      </c>
    </row>
    <row r="22" spans="2:24" s="5" customFormat="1" ht="76.5" hidden="1" x14ac:dyDescent="0.25">
      <c r="B22" s="35" t="s">
        <v>171</v>
      </c>
      <c r="C22" s="35" t="s">
        <v>528</v>
      </c>
      <c r="D22" s="40" t="s">
        <v>172</v>
      </c>
      <c r="E22" s="40" t="s">
        <v>471</v>
      </c>
      <c r="F22" s="40" t="s">
        <v>457</v>
      </c>
      <c r="G22" s="40" t="s">
        <v>472</v>
      </c>
      <c r="H22" s="40" t="s">
        <v>459</v>
      </c>
      <c r="I22" s="40" t="s">
        <v>460</v>
      </c>
      <c r="J22" s="40" t="s">
        <v>461</v>
      </c>
      <c r="K22" s="40" t="s">
        <v>47</v>
      </c>
      <c r="L22" s="46">
        <v>1029990.44</v>
      </c>
      <c r="M22" s="46">
        <v>159402.44</v>
      </c>
      <c r="N22" s="46">
        <v>70588.22</v>
      </c>
      <c r="O22" s="46">
        <v>0</v>
      </c>
      <c r="P22" s="46">
        <v>0</v>
      </c>
      <c r="Q22" s="46">
        <v>799999.78</v>
      </c>
      <c r="R22" s="46">
        <v>0</v>
      </c>
      <c r="S22" s="91">
        <v>2016</v>
      </c>
      <c r="T22" s="91" t="s">
        <v>493</v>
      </c>
      <c r="U22" s="91" t="s">
        <v>496</v>
      </c>
      <c r="V22" s="114">
        <v>2019</v>
      </c>
    </row>
    <row r="23" spans="2:24" s="5" customFormat="1" ht="76.5" hidden="1" customHeight="1" x14ac:dyDescent="0.25">
      <c r="B23" s="90" t="s">
        <v>173</v>
      </c>
      <c r="C23" s="96" t="s">
        <v>1025</v>
      </c>
      <c r="D23" s="89" t="s">
        <v>174</v>
      </c>
      <c r="E23" s="89" t="s">
        <v>471</v>
      </c>
      <c r="F23" s="89" t="s">
        <v>457</v>
      </c>
      <c r="G23" s="89" t="s">
        <v>472</v>
      </c>
      <c r="H23" s="89" t="s">
        <v>459</v>
      </c>
      <c r="I23" s="89" t="s">
        <v>460</v>
      </c>
      <c r="J23" s="89" t="s">
        <v>461</v>
      </c>
      <c r="K23" s="89" t="s">
        <v>47</v>
      </c>
      <c r="L23" s="89">
        <v>609390</v>
      </c>
      <c r="M23" s="89">
        <v>257125</v>
      </c>
      <c r="N23" s="89">
        <v>28562</v>
      </c>
      <c r="O23" s="89">
        <v>0</v>
      </c>
      <c r="P23" s="89">
        <v>0</v>
      </c>
      <c r="Q23" s="89">
        <v>323703</v>
      </c>
      <c r="R23" s="89">
        <v>0</v>
      </c>
      <c r="S23" s="91" t="s">
        <v>645</v>
      </c>
      <c r="T23" s="91" t="s">
        <v>487</v>
      </c>
      <c r="U23" s="91" t="s">
        <v>488</v>
      </c>
      <c r="V23" s="91">
        <v>2020</v>
      </c>
    </row>
    <row r="24" spans="2:24" s="5" customFormat="1" ht="68.25" hidden="1" customHeight="1" x14ac:dyDescent="0.25">
      <c r="B24" s="35" t="s">
        <v>455</v>
      </c>
      <c r="C24" s="35" t="s">
        <v>530</v>
      </c>
      <c r="D24" s="40" t="s">
        <v>477</v>
      </c>
      <c r="E24" s="40" t="s">
        <v>474</v>
      </c>
      <c r="F24" s="40" t="s">
        <v>466</v>
      </c>
      <c r="G24" s="40" t="s">
        <v>475</v>
      </c>
      <c r="H24" s="40" t="s">
        <v>459</v>
      </c>
      <c r="I24" s="40" t="s">
        <v>468</v>
      </c>
      <c r="J24" s="40" t="s">
        <v>469</v>
      </c>
      <c r="K24" s="40" t="s">
        <v>470</v>
      </c>
      <c r="L24" s="40">
        <v>518360.92</v>
      </c>
      <c r="M24" s="40">
        <v>38877.07</v>
      </c>
      <c r="N24" s="40">
        <v>38877.07</v>
      </c>
      <c r="O24" s="40">
        <v>0</v>
      </c>
      <c r="P24" s="40">
        <v>0</v>
      </c>
      <c r="Q24" s="40">
        <v>440606.78</v>
      </c>
      <c r="R24" s="40">
        <v>0</v>
      </c>
      <c r="S24" s="41" t="s">
        <v>496</v>
      </c>
      <c r="T24" s="41" t="s">
        <v>495</v>
      </c>
      <c r="U24" s="41" t="s">
        <v>491</v>
      </c>
      <c r="V24" s="41">
        <v>2019</v>
      </c>
    </row>
    <row r="25" spans="2:24" s="5" customFormat="1" ht="63.75" hidden="1" customHeight="1" x14ac:dyDescent="0.25">
      <c r="B25" s="27" t="s">
        <v>52</v>
      </c>
      <c r="C25" s="27"/>
      <c r="D25" s="27" t="s">
        <v>502</v>
      </c>
      <c r="E25" s="27"/>
      <c r="F25" s="27"/>
      <c r="G25" s="27"/>
      <c r="H25" s="27"/>
      <c r="I25" s="27"/>
      <c r="J25" s="27"/>
      <c r="K25" s="27"/>
      <c r="L25" s="27"/>
      <c r="M25" s="27"/>
      <c r="N25" s="27"/>
      <c r="O25" s="27"/>
      <c r="P25" s="27"/>
      <c r="Q25" s="27"/>
      <c r="R25" s="27"/>
      <c r="S25" s="27"/>
      <c r="T25" s="27"/>
      <c r="U25" s="27"/>
      <c r="V25" s="27"/>
    </row>
    <row r="26" spans="2:24" s="5" customFormat="1" ht="66.75" hidden="1" customHeight="1" x14ac:dyDescent="0.25">
      <c r="B26" s="35" t="s">
        <v>53</v>
      </c>
      <c r="C26" s="35" t="s">
        <v>531</v>
      </c>
      <c r="D26" s="40" t="s">
        <v>178</v>
      </c>
      <c r="E26" s="40" t="s">
        <v>503</v>
      </c>
      <c r="F26" s="40" t="s">
        <v>457</v>
      </c>
      <c r="G26" s="40" t="s">
        <v>504</v>
      </c>
      <c r="H26" s="40" t="s">
        <v>505</v>
      </c>
      <c r="I26" s="40" t="s">
        <v>460</v>
      </c>
      <c r="J26" s="40" t="s">
        <v>461</v>
      </c>
      <c r="K26" s="40" t="s">
        <v>47</v>
      </c>
      <c r="L26" s="40">
        <v>281261</v>
      </c>
      <c r="M26" s="40">
        <v>21095</v>
      </c>
      <c r="N26" s="40">
        <v>21094</v>
      </c>
      <c r="O26" s="40">
        <v>0</v>
      </c>
      <c r="P26" s="40">
        <v>0</v>
      </c>
      <c r="Q26" s="40">
        <v>239072</v>
      </c>
      <c r="R26" s="40">
        <v>0</v>
      </c>
      <c r="S26" s="41" t="s">
        <v>512</v>
      </c>
      <c r="T26" s="41" t="s">
        <v>513</v>
      </c>
      <c r="U26" s="41" t="s">
        <v>514</v>
      </c>
      <c r="V26" s="41">
        <v>2018</v>
      </c>
    </row>
    <row r="27" spans="2:24" s="5" customFormat="1" ht="183.75" hidden="1" customHeight="1" x14ac:dyDescent="0.25">
      <c r="B27" s="35" t="s">
        <v>54</v>
      </c>
      <c r="C27" s="35" t="s">
        <v>533</v>
      </c>
      <c r="D27" s="40" t="s">
        <v>179</v>
      </c>
      <c r="E27" s="40" t="s">
        <v>506</v>
      </c>
      <c r="F27" s="40" t="s">
        <v>457</v>
      </c>
      <c r="G27" s="40" t="s">
        <v>507</v>
      </c>
      <c r="H27" s="40" t="s">
        <v>508</v>
      </c>
      <c r="I27" s="40" t="s">
        <v>509</v>
      </c>
      <c r="J27" s="40" t="s">
        <v>461</v>
      </c>
      <c r="K27" s="40" t="s">
        <v>47</v>
      </c>
      <c r="L27" s="46">
        <v>29667711.210000001</v>
      </c>
      <c r="M27" s="46">
        <v>1516490.32</v>
      </c>
      <c r="N27" s="46">
        <v>117665.59</v>
      </c>
      <c r="O27" s="46">
        <v>0</v>
      </c>
      <c r="P27" s="46">
        <v>0</v>
      </c>
      <c r="Q27" s="46">
        <v>1333555.3</v>
      </c>
      <c r="R27" s="46">
        <v>0</v>
      </c>
      <c r="S27" s="114">
        <v>2015</v>
      </c>
      <c r="T27" s="114">
        <v>2016.08</v>
      </c>
      <c r="U27" s="114" t="s">
        <v>496</v>
      </c>
      <c r="V27" s="114">
        <v>2018</v>
      </c>
    </row>
    <row r="28" spans="2:24" s="5" customFormat="1" ht="67.5" hidden="1" customHeight="1" x14ac:dyDescent="0.25">
      <c r="B28" s="35" t="s">
        <v>180</v>
      </c>
      <c r="C28" s="35" t="s">
        <v>532</v>
      </c>
      <c r="D28" s="40" t="s">
        <v>181</v>
      </c>
      <c r="E28" s="40" t="s">
        <v>510</v>
      </c>
      <c r="F28" s="40" t="s">
        <v>457</v>
      </c>
      <c r="G28" s="40" t="s">
        <v>511</v>
      </c>
      <c r="H28" s="40" t="s">
        <v>508</v>
      </c>
      <c r="I28" s="40" t="s">
        <v>509</v>
      </c>
      <c r="J28" s="40" t="s">
        <v>461</v>
      </c>
      <c r="K28" s="40" t="s">
        <v>47</v>
      </c>
      <c r="L28" s="46">
        <v>1095549.6499999999</v>
      </c>
      <c r="M28" s="46">
        <v>150025.67000000001</v>
      </c>
      <c r="N28" s="46">
        <v>76664</v>
      </c>
      <c r="O28" s="46">
        <v>0</v>
      </c>
      <c r="P28" s="46">
        <v>0</v>
      </c>
      <c r="Q28" s="46">
        <v>868859.98</v>
      </c>
      <c r="R28" s="46">
        <v>0</v>
      </c>
      <c r="S28" s="114" t="s">
        <v>515</v>
      </c>
      <c r="T28" s="114" t="s">
        <v>516</v>
      </c>
      <c r="U28" s="114" t="s">
        <v>517</v>
      </c>
      <c r="V28" s="114">
        <v>2018</v>
      </c>
    </row>
    <row r="29" spans="2:24" s="5" customFormat="1" ht="110.25" hidden="1" customHeight="1" x14ac:dyDescent="0.25">
      <c r="B29" s="25" t="s">
        <v>19</v>
      </c>
      <c r="C29" s="25"/>
      <c r="D29" s="25" t="s">
        <v>182</v>
      </c>
      <c r="E29" s="25"/>
      <c r="F29" s="11"/>
      <c r="G29" s="25"/>
      <c r="H29" s="25"/>
      <c r="I29" s="25"/>
      <c r="J29" s="11"/>
      <c r="K29" s="25"/>
      <c r="L29" s="25"/>
      <c r="M29" s="25"/>
      <c r="N29" s="25"/>
      <c r="O29" s="25"/>
      <c r="P29" s="25"/>
      <c r="Q29" s="25"/>
      <c r="R29" s="11"/>
      <c r="S29" s="25"/>
      <c r="T29" s="25"/>
      <c r="U29" s="25"/>
      <c r="V29" s="11"/>
    </row>
    <row r="30" spans="2:24" s="5" customFormat="1" ht="51.75" hidden="1" customHeight="1" x14ac:dyDescent="0.25">
      <c r="B30" s="27" t="s">
        <v>537</v>
      </c>
      <c r="C30" s="27"/>
      <c r="D30" s="27" t="s">
        <v>183</v>
      </c>
      <c r="E30" s="27"/>
      <c r="F30" s="27"/>
      <c r="G30" s="27"/>
      <c r="H30" s="27"/>
      <c r="I30" s="27"/>
      <c r="J30" s="27"/>
      <c r="K30" s="27"/>
      <c r="L30" s="27"/>
      <c r="M30" s="93"/>
      <c r="N30" s="93"/>
      <c r="O30" s="27"/>
      <c r="P30" s="27"/>
      <c r="Q30" s="93"/>
      <c r="R30" s="27"/>
      <c r="S30" s="93"/>
      <c r="T30" s="93"/>
      <c r="U30" s="93"/>
      <c r="V30" s="27"/>
    </row>
    <row r="31" spans="2:24" ht="206.25" hidden="1" customHeight="1" x14ac:dyDescent="0.25">
      <c r="B31" s="40" t="s">
        <v>184</v>
      </c>
      <c r="C31" s="40" t="s">
        <v>552</v>
      </c>
      <c r="D31" s="40" t="s">
        <v>185</v>
      </c>
      <c r="E31" s="40" t="s">
        <v>503</v>
      </c>
      <c r="F31" s="40" t="s">
        <v>457</v>
      </c>
      <c r="G31" s="40" t="s">
        <v>534</v>
      </c>
      <c r="H31" s="40" t="s">
        <v>535</v>
      </c>
      <c r="I31" s="40" t="s">
        <v>460</v>
      </c>
      <c r="J31" s="40"/>
      <c r="K31" s="40" t="s">
        <v>47</v>
      </c>
      <c r="L31" s="40">
        <v>904727</v>
      </c>
      <c r="M31" s="40">
        <v>67855</v>
      </c>
      <c r="N31" s="40">
        <v>67854</v>
      </c>
      <c r="O31" s="40">
        <v>0</v>
      </c>
      <c r="P31" s="40">
        <v>0</v>
      </c>
      <c r="Q31" s="40">
        <v>769018</v>
      </c>
      <c r="R31" s="40">
        <v>0</v>
      </c>
      <c r="S31" s="41" t="s">
        <v>536</v>
      </c>
      <c r="T31" s="41" t="s">
        <v>498</v>
      </c>
      <c r="U31" s="41" t="s">
        <v>514</v>
      </c>
      <c r="V31" s="41">
        <v>2019</v>
      </c>
    </row>
    <row r="32" spans="2:24" s="5" customFormat="1" ht="171" hidden="1" customHeight="1" x14ac:dyDescent="0.25">
      <c r="B32" s="25" t="s">
        <v>186</v>
      </c>
      <c r="C32" s="25"/>
      <c r="D32" s="25" t="s">
        <v>187</v>
      </c>
      <c r="E32" s="25"/>
      <c r="F32" s="25"/>
      <c r="G32" s="25"/>
      <c r="H32" s="25"/>
      <c r="I32" s="25"/>
      <c r="J32" s="25"/>
      <c r="K32" s="25"/>
      <c r="L32" s="25"/>
      <c r="M32" s="25"/>
      <c r="N32" s="25"/>
      <c r="O32" s="25"/>
      <c r="P32" s="25"/>
      <c r="Q32" s="25"/>
      <c r="R32" s="25"/>
      <c r="S32" s="25"/>
      <c r="T32" s="25"/>
      <c r="U32" s="25"/>
      <c r="V32" s="25"/>
    </row>
    <row r="33" spans="2:22" s="5" customFormat="1" ht="87.75" hidden="1" customHeight="1" x14ac:dyDescent="0.25">
      <c r="B33" s="27" t="s">
        <v>188</v>
      </c>
      <c r="C33" s="27"/>
      <c r="D33" s="27" t="s">
        <v>189</v>
      </c>
      <c r="E33" s="27"/>
      <c r="F33" s="27"/>
      <c r="G33" s="27"/>
      <c r="H33" s="27"/>
      <c r="I33" s="27"/>
      <c r="J33" s="27"/>
      <c r="K33" s="27"/>
      <c r="L33" s="27"/>
      <c r="M33" s="27"/>
      <c r="N33" s="27"/>
      <c r="O33" s="27"/>
      <c r="P33" s="27"/>
      <c r="Q33" s="27"/>
      <c r="R33" s="27"/>
      <c r="S33" s="27"/>
      <c r="T33" s="27"/>
      <c r="U33" s="27"/>
      <c r="V33" s="27"/>
    </row>
    <row r="34" spans="2:22" s="5" customFormat="1" ht="96" hidden="1" customHeight="1" x14ac:dyDescent="0.25">
      <c r="B34" s="27" t="s">
        <v>190</v>
      </c>
      <c r="C34" s="27"/>
      <c r="D34" s="27" t="s">
        <v>191</v>
      </c>
      <c r="E34" s="27"/>
      <c r="F34" s="27"/>
      <c r="G34" s="27"/>
      <c r="H34" s="27"/>
      <c r="I34" s="27"/>
      <c r="J34" s="27"/>
      <c r="K34" s="27"/>
      <c r="L34" s="27"/>
      <c r="M34" s="27"/>
      <c r="N34" s="27"/>
      <c r="O34" s="27"/>
      <c r="P34" s="27"/>
      <c r="Q34" s="27"/>
      <c r="R34" s="27"/>
      <c r="S34" s="27"/>
      <c r="T34" s="27"/>
      <c r="U34" s="27"/>
      <c r="V34" s="27"/>
    </row>
    <row r="35" spans="2:22" s="5" customFormat="1" ht="75" hidden="1" customHeight="1" x14ac:dyDescent="0.25">
      <c r="B35" s="10" t="s">
        <v>21</v>
      </c>
      <c r="C35" s="30"/>
      <c r="D35" s="39" t="s">
        <v>192</v>
      </c>
      <c r="E35" s="30"/>
      <c r="F35" s="10"/>
      <c r="G35" s="10"/>
      <c r="H35" s="30"/>
      <c r="I35" s="10"/>
      <c r="J35" s="30"/>
      <c r="K35" s="39"/>
      <c r="L35" s="30"/>
      <c r="M35" s="10"/>
      <c r="N35" s="10"/>
      <c r="O35" s="30"/>
      <c r="P35" s="10"/>
      <c r="Q35" s="30"/>
      <c r="R35" s="39"/>
      <c r="S35" s="30"/>
      <c r="T35" s="10"/>
      <c r="U35" s="10"/>
      <c r="V35" s="30"/>
    </row>
    <row r="36" spans="2:22" s="5" customFormat="1" ht="78" hidden="1" customHeight="1" x14ac:dyDescent="0.25">
      <c r="B36" s="25" t="s">
        <v>22</v>
      </c>
      <c r="C36" s="25"/>
      <c r="D36" s="25" t="s">
        <v>193</v>
      </c>
      <c r="E36" s="25"/>
      <c r="F36" s="25"/>
      <c r="G36" s="25"/>
      <c r="H36" s="25"/>
      <c r="I36" s="25"/>
      <c r="J36" s="25"/>
      <c r="K36" s="25"/>
      <c r="L36" s="25"/>
      <c r="M36" s="25"/>
      <c r="N36" s="25"/>
      <c r="O36" s="25"/>
      <c r="P36" s="25"/>
      <c r="Q36" s="25"/>
      <c r="R36" s="25"/>
      <c r="S36" s="25"/>
      <c r="T36" s="25"/>
      <c r="U36" s="25"/>
      <c r="V36" s="25"/>
    </row>
    <row r="37" spans="2:22" ht="27.75" customHeight="1" x14ac:dyDescent="0.25">
      <c r="B37" s="27" t="s">
        <v>194</v>
      </c>
      <c r="C37" s="27"/>
      <c r="D37" s="27" t="s">
        <v>538</v>
      </c>
      <c r="E37" s="27"/>
      <c r="F37" s="27"/>
      <c r="G37" s="27"/>
      <c r="H37" s="27"/>
      <c r="I37" s="27"/>
      <c r="J37" s="27"/>
      <c r="K37" s="27"/>
      <c r="L37" s="27"/>
      <c r="M37" s="27"/>
      <c r="N37" s="27"/>
      <c r="O37" s="27"/>
      <c r="P37" s="27"/>
      <c r="Q37" s="27"/>
      <c r="R37" s="27"/>
      <c r="S37" s="27"/>
      <c r="T37" s="27"/>
      <c r="U37" s="27"/>
      <c r="V37" s="27"/>
    </row>
    <row r="38" spans="2:22" s="87" customFormat="1" ht="75.75" customHeight="1" x14ac:dyDescent="0.25">
      <c r="B38" s="29" t="s">
        <v>196</v>
      </c>
      <c r="C38" s="18" t="s">
        <v>551</v>
      </c>
      <c r="D38" s="29" t="s">
        <v>197</v>
      </c>
      <c r="E38" s="29" t="s">
        <v>503</v>
      </c>
      <c r="F38" s="29" t="s">
        <v>539</v>
      </c>
      <c r="G38" s="29" t="s">
        <v>504</v>
      </c>
      <c r="H38" s="29" t="s">
        <v>540</v>
      </c>
      <c r="I38" s="29" t="s">
        <v>460</v>
      </c>
      <c r="J38" s="29" t="s">
        <v>461</v>
      </c>
      <c r="K38" s="29" t="s">
        <v>47</v>
      </c>
      <c r="L38" s="73">
        <v>344665.75</v>
      </c>
      <c r="M38" s="73">
        <v>25849.93</v>
      </c>
      <c r="N38" s="29">
        <v>0</v>
      </c>
      <c r="O38" s="29">
        <v>0</v>
      </c>
      <c r="P38" s="73">
        <v>25849.93</v>
      </c>
      <c r="Q38" s="73">
        <v>292965.89</v>
      </c>
      <c r="R38" s="29">
        <v>0</v>
      </c>
      <c r="S38" s="75" t="s">
        <v>487</v>
      </c>
      <c r="T38" s="75" t="s">
        <v>488</v>
      </c>
      <c r="U38" s="75" t="s">
        <v>484</v>
      </c>
      <c r="V38" s="42">
        <v>2019</v>
      </c>
    </row>
    <row r="39" spans="2:22" s="5" customFormat="1" ht="75.75" customHeight="1" x14ac:dyDescent="0.25">
      <c r="B39" s="29" t="s">
        <v>198</v>
      </c>
      <c r="C39" s="18" t="s">
        <v>553</v>
      </c>
      <c r="D39" s="29" t="s">
        <v>199</v>
      </c>
      <c r="E39" s="29" t="s">
        <v>541</v>
      </c>
      <c r="F39" s="29" t="s">
        <v>539</v>
      </c>
      <c r="G39" s="29" t="s">
        <v>542</v>
      </c>
      <c r="H39" s="29" t="s">
        <v>540</v>
      </c>
      <c r="I39" s="29" t="s">
        <v>460</v>
      </c>
      <c r="J39" s="29" t="s">
        <v>461</v>
      </c>
      <c r="K39" s="29" t="s">
        <v>47</v>
      </c>
      <c r="L39" s="73">
        <v>200108.91</v>
      </c>
      <c r="M39" s="73">
        <v>57600.75</v>
      </c>
      <c r="N39" s="29">
        <v>0</v>
      </c>
      <c r="O39" s="29">
        <v>0</v>
      </c>
      <c r="P39" s="73">
        <v>15008.16</v>
      </c>
      <c r="Q39" s="29">
        <v>127500</v>
      </c>
      <c r="R39" s="29">
        <v>0</v>
      </c>
      <c r="S39" s="75" t="s">
        <v>547</v>
      </c>
      <c r="T39" s="75" t="s">
        <v>485</v>
      </c>
      <c r="U39" s="75" t="s">
        <v>1051</v>
      </c>
      <c r="V39" s="75">
        <v>2020</v>
      </c>
    </row>
    <row r="40" spans="2:22" s="5" customFormat="1" ht="132" customHeight="1" x14ac:dyDescent="0.25">
      <c r="B40" s="29" t="s">
        <v>200</v>
      </c>
      <c r="C40" s="18" t="s">
        <v>1052</v>
      </c>
      <c r="D40" s="29" t="s">
        <v>201</v>
      </c>
      <c r="E40" s="29" t="s">
        <v>456</v>
      </c>
      <c r="F40" s="29" t="s">
        <v>539</v>
      </c>
      <c r="G40" s="29" t="s">
        <v>463</v>
      </c>
      <c r="H40" s="29" t="s">
        <v>540</v>
      </c>
      <c r="I40" s="29" t="s">
        <v>460</v>
      </c>
      <c r="J40" s="29" t="s">
        <v>461</v>
      </c>
      <c r="K40" s="29" t="s">
        <v>47</v>
      </c>
      <c r="L40" s="73">
        <v>615073.18999999994</v>
      </c>
      <c r="M40" s="73">
        <v>92260.98</v>
      </c>
      <c r="N40" s="29">
        <v>0</v>
      </c>
      <c r="O40" s="29">
        <v>0</v>
      </c>
      <c r="P40" s="73">
        <v>0</v>
      </c>
      <c r="Q40" s="73">
        <v>522812.21</v>
      </c>
      <c r="R40" s="29">
        <v>0</v>
      </c>
      <c r="S40" s="42" t="s">
        <v>486</v>
      </c>
      <c r="T40" s="42" t="s">
        <v>499</v>
      </c>
      <c r="U40" s="75" t="s">
        <v>549</v>
      </c>
      <c r="V40" s="42">
        <v>2019</v>
      </c>
    </row>
    <row r="41" spans="2:22" s="5" customFormat="1" ht="92.25" customHeight="1" x14ac:dyDescent="0.25">
      <c r="B41" s="29" t="s">
        <v>202</v>
      </c>
      <c r="C41" s="18" t="s">
        <v>1053</v>
      </c>
      <c r="D41" s="29" t="s">
        <v>203</v>
      </c>
      <c r="E41" s="29" t="s">
        <v>541</v>
      </c>
      <c r="F41" s="29" t="s">
        <v>539</v>
      </c>
      <c r="G41" s="29" t="s">
        <v>542</v>
      </c>
      <c r="H41" s="29" t="s">
        <v>540</v>
      </c>
      <c r="I41" s="29" t="s">
        <v>460</v>
      </c>
      <c r="J41" s="29" t="s">
        <v>461</v>
      </c>
      <c r="K41" s="29" t="s">
        <v>47</v>
      </c>
      <c r="L41" s="29">
        <v>629529.59</v>
      </c>
      <c r="M41" s="29">
        <v>47214.720000000001</v>
      </c>
      <c r="N41" s="29">
        <v>0</v>
      </c>
      <c r="O41" s="29">
        <v>0</v>
      </c>
      <c r="P41" s="29">
        <v>47214.720000000001</v>
      </c>
      <c r="Q41" s="29">
        <v>535100.15</v>
      </c>
      <c r="R41" s="29">
        <v>0</v>
      </c>
      <c r="S41" s="42" t="s">
        <v>548</v>
      </c>
      <c r="T41" s="42" t="s">
        <v>549</v>
      </c>
      <c r="U41" s="42" t="s">
        <v>500</v>
      </c>
      <c r="V41" s="42">
        <v>2019</v>
      </c>
    </row>
    <row r="42" spans="2:22" s="5" customFormat="1" ht="71.25" customHeight="1" x14ac:dyDescent="0.25">
      <c r="B42" s="29" t="s">
        <v>204</v>
      </c>
      <c r="C42" s="18" t="s">
        <v>1054</v>
      </c>
      <c r="D42" s="29" t="s">
        <v>205</v>
      </c>
      <c r="E42" s="29" t="s">
        <v>471</v>
      </c>
      <c r="F42" s="29" t="s">
        <v>539</v>
      </c>
      <c r="G42" s="29" t="s">
        <v>472</v>
      </c>
      <c r="H42" s="29" t="s">
        <v>540</v>
      </c>
      <c r="I42" s="29" t="s">
        <v>460</v>
      </c>
      <c r="J42" s="29" t="s">
        <v>461</v>
      </c>
      <c r="K42" s="29" t="s">
        <v>47</v>
      </c>
      <c r="L42" s="29">
        <v>428573.83</v>
      </c>
      <c r="M42" s="29">
        <v>34684.57</v>
      </c>
      <c r="N42" s="29">
        <v>32143.03</v>
      </c>
      <c r="O42" s="29">
        <v>0</v>
      </c>
      <c r="P42" s="29">
        <v>0</v>
      </c>
      <c r="Q42" s="29">
        <v>361746.23</v>
      </c>
      <c r="R42" s="29">
        <v>0</v>
      </c>
      <c r="S42" s="42" t="s">
        <v>536</v>
      </c>
      <c r="T42" s="42" t="s">
        <v>495</v>
      </c>
      <c r="U42" s="42" t="s">
        <v>490</v>
      </c>
      <c r="V42" s="42">
        <v>2019</v>
      </c>
    </row>
    <row r="43" spans="2:22" s="5" customFormat="1" ht="99" customHeight="1" x14ac:dyDescent="0.25">
      <c r="B43" s="29" t="s">
        <v>206</v>
      </c>
      <c r="C43" s="18" t="s">
        <v>1056</v>
      </c>
      <c r="D43" s="29" t="s">
        <v>543</v>
      </c>
      <c r="E43" s="29" t="s">
        <v>510</v>
      </c>
      <c r="F43" s="29" t="s">
        <v>539</v>
      </c>
      <c r="G43" s="29" t="s">
        <v>544</v>
      </c>
      <c r="H43" s="29" t="s">
        <v>540</v>
      </c>
      <c r="I43" s="29" t="s">
        <v>460</v>
      </c>
      <c r="J43" s="29" t="s">
        <v>461</v>
      </c>
      <c r="K43" s="29" t="s">
        <v>47</v>
      </c>
      <c r="L43" s="29">
        <v>381140.11</v>
      </c>
      <c r="M43" s="42" t="s">
        <v>545</v>
      </c>
      <c r="N43" s="29">
        <v>0</v>
      </c>
      <c r="O43" s="29">
        <v>0</v>
      </c>
      <c r="P43" s="42" t="s">
        <v>545</v>
      </c>
      <c r="Q43" s="29">
        <v>323969.08999999997</v>
      </c>
      <c r="R43" s="29">
        <v>0</v>
      </c>
      <c r="S43" s="42" t="s">
        <v>486</v>
      </c>
      <c r="T43" s="42" t="s">
        <v>488</v>
      </c>
      <c r="U43" s="42" t="s">
        <v>972</v>
      </c>
      <c r="V43" s="42">
        <v>2020</v>
      </c>
    </row>
    <row r="44" spans="2:22" s="5" customFormat="1" ht="68.25" customHeight="1" x14ac:dyDescent="0.25">
      <c r="B44" s="29" t="s">
        <v>208</v>
      </c>
      <c r="C44" s="18" t="s">
        <v>554</v>
      </c>
      <c r="D44" s="29" t="s">
        <v>209</v>
      </c>
      <c r="E44" s="29" t="s">
        <v>506</v>
      </c>
      <c r="F44" s="29" t="s">
        <v>539</v>
      </c>
      <c r="G44" s="29" t="s">
        <v>546</v>
      </c>
      <c r="H44" s="29" t="s">
        <v>540</v>
      </c>
      <c r="I44" s="29" t="s">
        <v>460</v>
      </c>
      <c r="J44" s="29" t="s">
        <v>461</v>
      </c>
      <c r="K44" s="29" t="s">
        <v>47</v>
      </c>
      <c r="L44" s="29">
        <v>774117.56</v>
      </c>
      <c r="M44" s="29">
        <v>116117.63</v>
      </c>
      <c r="N44" s="29">
        <v>0</v>
      </c>
      <c r="O44" s="29">
        <v>0</v>
      </c>
      <c r="P44" s="29">
        <v>0</v>
      </c>
      <c r="Q44" s="29">
        <v>657999.93000000005</v>
      </c>
      <c r="R44" s="29">
        <v>0</v>
      </c>
      <c r="S44" s="42" t="s">
        <v>550</v>
      </c>
      <c r="T44" s="42" t="s">
        <v>478</v>
      </c>
      <c r="U44" s="42" t="s">
        <v>490</v>
      </c>
      <c r="V44" s="42">
        <v>2019</v>
      </c>
    </row>
    <row r="45" spans="2:22" ht="89.25" x14ac:dyDescent="0.25">
      <c r="B45" s="29" t="s">
        <v>210</v>
      </c>
      <c r="C45" s="18" t="s">
        <v>555</v>
      </c>
      <c r="D45" s="40" t="s">
        <v>211</v>
      </c>
      <c r="E45" s="40" t="s">
        <v>541</v>
      </c>
      <c r="F45" s="40" t="s">
        <v>539</v>
      </c>
      <c r="G45" s="40" t="s">
        <v>542</v>
      </c>
      <c r="H45" s="40" t="s">
        <v>540</v>
      </c>
      <c r="I45" s="40" t="s">
        <v>460</v>
      </c>
      <c r="J45" s="40" t="s">
        <v>461</v>
      </c>
      <c r="K45" s="40" t="s">
        <v>47</v>
      </c>
      <c r="L45" s="131">
        <v>102422.63</v>
      </c>
      <c r="M45" s="73">
        <v>7681.7</v>
      </c>
      <c r="N45" s="29">
        <v>0</v>
      </c>
      <c r="O45" s="29">
        <v>0</v>
      </c>
      <c r="P45" s="73">
        <v>7681.69</v>
      </c>
      <c r="Q45" s="73">
        <v>87059.24</v>
      </c>
      <c r="R45" s="29">
        <v>0</v>
      </c>
      <c r="S45" s="75" t="s">
        <v>547</v>
      </c>
      <c r="T45" s="75" t="s">
        <v>643</v>
      </c>
      <c r="U45" s="75" t="s">
        <v>485</v>
      </c>
      <c r="V45" s="75">
        <v>2020</v>
      </c>
    </row>
    <row r="46" spans="2:22" s="5" customFormat="1" ht="114.75" x14ac:dyDescent="0.25">
      <c r="B46" s="73" t="s">
        <v>1033</v>
      </c>
      <c r="C46" s="76" t="s">
        <v>1055</v>
      </c>
      <c r="D46" s="76" t="s">
        <v>1040</v>
      </c>
      <c r="E46" s="73" t="s">
        <v>456</v>
      </c>
      <c r="F46" s="73" t="s">
        <v>539</v>
      </c>
      <c r="G46" s="73" t="s">
        <v>463</v>
      </c>
      <c r="H46" s="73" t="s">
        <v>540</v>
      </c>
      <c r="I46" s="73" t="s">
        <v>460</v>
      </c>
      <c r="J46" s="73" t="s">
        <v>461</v>
      </c>
      <c r="K46" s="73" t="s">
        <v>47</v>
      </c>
      <c r="L46" s="73">
        <v>916743.93</v>
      </c>
      <c r="M46" s="73">
        <v>591231.43999999994</v>
      </c>
      <c r="N46" s="73">
        <v>0</v>
      </c>
      <c r="O46" s="73">
        <v>0</v>
      </c>
      <c r="P46" s="73">
        <v>0</v>
      </c>
      <c r="Q46" s="73">
        <v>325512.49</v>
      </c>
      <c r="R46" s="73">
        <v>0</v>
      </c>
      <c r="S46" s="75" t="s">
        <v>487</v>
      </c>
      <c r="T46" s="75" t="s">
        <v>1021</v>
      </c>
      <c r="U46" s="75" t="s">
        <v>1043</v>
      </c>
      <c r="V46" s="75">
        <v>2022</v>
      </c>
    </row>
    <row r="47" spans="2:22" s="5" customFormat="1" ht="67.5" customHeight="1" x14ac:dyDescent="0.25">
      <c r="B47" s="73" t="s">
        <v>1034</v>
      </c>
      <c r="C47" s="73" t="s">
        <v>1041</v>
      </c>
      <c r="D47" s="74" t="s">
        <v>1038</v>
      </c>
      <c r="E47" s="74" t="s">
        <v>503</v>
      </c>
      <c r="F47" s="74" t="s">
        <v>539</v>
      </c>
      <c r="G47" s="74" t="s">
        <v>504</v>
      </c>
      <c r="H47" s="74" t="s">
        <v>540</v>
      </c>
      <c r="I47" s="74" t="s">
        <v>460</v>
      </c>
      <c r="J47" s="74" t="s">
        <v>461</v>
      </c>
      <c r="K47" s="74" t="s">
        <v>47</v>
      </c>
      <c r="L47" s="73">
        <v>181733.94</v>
      </c>
      <c r="M47" s="73">
        <v>13630.05</v>
      </c>
      <c r="N47" s="73">
        <v>0</v>
      </c>
      <c r="O47" s="73">
        <v>0</v>
      </c>
      <c r="P47" s="73">
        <v>13630.04</v>
      </c>
      <c r="Q47" s="73">
        <v>154473.85</v>
      </c>
      <c r="R47" s="73" t="s">
        <v>292</v>
      </c>
      <c r="S47" s="75" t="s">
        <v>644</v>
      </c>
      <c r="T47" s="75" t="s">
        <v>643</v>
      </c>
      <c r="U47" s="75" t="s">
        <v>485</v>
      </c>
      <c r="V47" s="75">
        <v>2020</v>
      </c>
    </row>
    <row r="48" spans="2:22" s="5" customFormat="1" ht="55.5" customHeight="1" x14ac:dyDescent="0.25">
      <c r="B48" s="73" t="s">
        <v>1035</v>
      </c>
      <c r="C48" s="73" t="s">
        <v>1042</v>
      </c>
      <c r="D48" s="74" t="s">
        <v>1039</v>
      </c>
      <c r="E48" s="74" t="s">
        <v>503</v>
      </c>
      <c r="F48" s="74" t="s">
        <v>539</v>
      </c>
      <c r="G48" s="74" t="s">
        <v>504</v>
      </c>
      <c r="H48" s="74" t="s">
        <v>540</v>
      </c>
      <c r="I48" s="74" t="s">
        <v>460</v>
      </c>
      <c r="J48" s="74" t="s">
        <v>47</v>
      </c>
      <c r="K48" s="74" t="s">
        <v>47</v>
      </c>
      <c r="L48" s="73">
        <v>225600.35</v>
      </c>
      <c r="M48" s="73">
        <v>16920.03</v>
      </c>
      <c r="N48" s="73">
        <v>0</v>
      </c>
      <c r="O48" s="73">
        <v>0</v>
      </c>
      <c r="P48" s="73">
        <v>16920.02</v>
      </c>
      <c r="Q48" s="73">
        <v>191760.3</v>
      </c>
      <c r="R48" s="73">
        <v>0</v>
      </c>
      <c r="S48" s="75" t="s">
        <v>644</v>
      </c>
      <c r="T48" s="75" t="s">
        <v>643</v>
      </c>
      <c r="U48" s="75" t="s">
        <v>485</v>
      </c>
      <c r="V48" s="75">
        <v>2020</v>
      </c>
    </row>
    <row r="49" spans="2:22" s="5" customFormat="1" ht="76.5" x14ac:dyDescent="0.25">
      <c r="B49" s="73" t="s">
        <v>1036</v>
      </c>
      <c r="C49" s="73" t="s">
        <v>1045</v>
      </c>
      <c r="D49" s="74" t="s">
        <v>1044</v>
      </c>
      <c r="E49" s="74" t="s">
        <v>471</v>
      </c>
      <c r="F49" s="74" t="s">
        <v>539</v>
      </c>
      <c r="G49" s="74" t="s">
        <v>472</v>
      </c>
      <c r="H49" s="74" t="s">
        <v>540</v>
      </c>
      <c r="I49" s="74" t="s">
        <v>460</v>
      </c>
      <c r="J49" s="74" t="s">
        <v>47</v>
      </c>
      <c r="K49" s="74" t="s">
        <v>47</v>
      </c>
      <c r="L49" s="131">
        <v>162366</v>
      </c>
      <c r="M49" s="73">
        <v>25740.45</v>
      </c>
      <c r="N49" s="73">
        <v>0</v>
      </c>
      <c r="O49" s="73">
        <v>0</v>
      </c>
      <c r="P49" s="131">
        <v>25740</v>
      </c>
      <c r="Q49" s="73">
        <v>110885.55</v>
      </c>
      <c r="R49" s="73">
        <v>0</v>
      </c>
      <c r="S49" s="75" t="s">
        <v>644</v>
      </c>
      <c r="T49" s="75" t="s">
        <v>1046</v>
      </c>
      <c r="U49" s="75" t="s">
        <v>1047</v>
      </c>
      <c r="V49" s="75">
        <v>2021</v>
      </c>
    </row>
    <row r="50" spans="2:22" s="5" customFormat="1" ht="76.5" x14ac:dyDescent="0.25">
      <c r="B50" s="73" t="s">
        <v>1037</v>
      </c>
      <c r="C50" s="73" t="s">
        <v>1049</v>
      </c>
      <c r="D50" s="76" t="s">
        <v>1048</v>
      </c>
      <c r="E50" s="73" t="s">
        <v>541</v>
      </c>
      <c r="F50" s="73" t="s">
        <v>539</v>
      </c>
      <c r="G50" s="73" t="s">
        <v>542</v>
      </c>
      <c r="H50" s="73" t="s">
        <v>540</v>
      </c>
      <c r="I50" s="73" t="s">
        <v>460</v>
      </c>
      <c r="J50" s="73" t="s">
        <v>47</v>
      </c>
      <c r="K50" s="73" t="s">
        <v>47</v>
      </c>
      <c r="L50" s="131">
        <v>174510.58</v>
      </c>
      <c r="M50" s="73">
        <v>13088.29</v>
      </c>
      <c r="N50" s="73">
        <v>0</v>
      </c>
      <c r="O50" s="73">
        <v>0</v>
      </c>
      <c r="P50" s="73">
        <v>13088.29</v>
      </c>
      <c r="Q50" s="131">
        <v>148334</v>
      </c>
      <c r="R50" s="73">
        <v>0</v>
      </c>
      <c r="S50" s="75" t="s">
        <v>487</v>
      </c>
      <c r="T50" s="75" t="s">
        <v>972</v>
      </c>
      <c r="U50" s="75" t="s">
        <v>1050</v>
      </c>
      <c r="V50" s="75">
        <v>2020</v>
      </c>
    </row>
    <row r="51" spans="2:22" s="5" customFormat="1" ht="102" hidden="1" x14ac:dyDescent="0.25">
      <c r="B51" s="25" t="s">
        <v>212</v>
      </c>
      <c r="C51" s="25"/>
      <c r="D51" s="25" t="s">
        <v>213</v>
      </c>
      <c r="E51" s="25"/>
      <c r="F51" s="25"/>
      <c r="G51" s="25"/>
      <c r="H51" s="25"/>
      <c r="I51" s="25"/>
      <c r="J51" s="25"/>
      <c r="K51" s="25"/>
      <c r="L51" s="25"/>
      <c r="M51" s="25"/>
      <c r="N51" s="25"/>
      <c r="O51" s="25"/>
      <c r="P51" s="25"/>
      <c r="Q51" s="25"/>
      <c r="R51" s="25"/>
      <c r="S51" s="25"/>
      <c r="T51" s="25"/>
      <c r="U51" s="25"/>
      <c r="V51" s="25"/>
    </row>
    <row r="52" spans="2:22" s="5" customFormat="1" ht="63.75" hidden="1" x14ac:dyDescent="0.25">
      <c r="B52" s="27" t="s">
        <v>214</v>
      </c>
      <c r="C52" s="27"/>
      <c r="D52" s="27" t="s">
        <v>215</v>
      </c>
      <c r="E52" s="27"/>
      <c r="F52" s="27"/>
      <c r="G52" s="27"/>
      <c r="H52" s="27"/>
      <c r="I52" s="27"/>
      <c r="J52" s="27"/>
      <c r="K52" s="27"/>
      <c r="L52" s="27"/>
      <c r="M52" s="27"/>
      <c r="N52" s="27"/>
      <c r="O52" s="27"/>
      <c r="P52" s="27"/>
      <c r="Q52" s="27"/>
      <c r="R52" s="27"/>
      <c r="S52" s="27"/>
      <c r="T52" s="27"/>
      <c r="U52" s="27"/>
      <c r="V52" s="27"/>
    </row>
    <row r="53" spans="2:22" s="5" customFormat="1" ht="129.75" hidden="1" customHeight="1" x14ac:dyDescent="0.25">
      <c r="B53" s="29" t="s">
        <v>216</v>
      </c>
      <c r="C53" s="29" t="s">
        <v>563</v>
      </c>
      <c r="D53" s="40" t="s">
        <v>1032</v>
      </c>
      <c r="E53" s="40" t="s">
        <v>503</v>
      </c>
      <c r="F53" s="40" t="s">
        <v>539</v>
      </c>
      <c r="G53" s="40" t="s">
        <v>534</v>
      </c>
      <c r="H53" s="40" t="s">
        <v>559</v>
      </c>
      <c r="I53" s="29" t="s">
        <v>460</v>
      </c>
      <c r="J53" s="29" t="s">
        <v>461</v>
      </c>
      <c r="K53" s="29" t="s">
        <v>47</v>
      </c>
      <c r="L53" s="29">
        <v>102941.18</v>
      </c>
      <c r="M53" s="29">
        <v>15441.18</v>
      </c>
      <c r="N53" s="29">
        <v>0</v>
      </c>
      <c r="O53" s="29">
        <v>0</v>
      </c>
      <c r="P53" s="29">
        <v>0</v>
      </c>
      <c r="Q53" s="29">
        <v>87500</v>
      </c>
      <c r="R53" s="29">
        <v>0</v>
      </c>
      <c r="S53" s="42" t="s">
        <v>645</v>
      </c>
      <c r="T53" s="42" t="s">
        <v>644</v>
      </c>
      <c r="U53" s="42" t="s">
        <v>484</v>
      </c>
      <c r="V53" s="42">
        <v>2020</v>
      </c>
    </row>
    <row r="54" spans="2:22" s="5" customFormat="1" ht="140.25" hidden="1" x14ac:dyDescent="0.25">
      <c r="B54" s="29" t="s">
        <v>217</v>
      </c>
      <c r="C54" s="29" t="s">
        <v>564</v>
      </c>
      <c r="D54" s="40" t="s">
        <v>218</v>
      </c>
      <c r="E54" s="40" t="s">
        <v>471</v>
      </c>
      <c r="F54" s="40" t="s">
        <v>539</v>
      </c>
      <c r="G54" s="40" t="s">
        <v>472</v>
      </c>
      <c r="H54" s="40" t="s">
        <v>559</v>
      </c>
      <c r="I54" s="29" t="s">
        <v>460</v>
      </c>
      <c r="J54" s="29" t="s">
        <v>461</v>
      </c>
      <c r="K54" s="29" t="s">
        <v>47</v>
      </c>
      <c r="L54" s="29">
        <v>322662</v>
      </c>
      <c r="M54" s="29">
        <v>57540</v>
      </c>
      <c r="N54" s="29">
        <v>100000</v>
      </c>
      <c r="O54" s="29">
        <v>0</v>
      </c>
      <c r="P54" s="29">
        <v>0</v>
      </c>
      <c r="Q54" s="29">
        <v>165122</v>
      </c>
      <c r="R54" s="29">
        <v>0</v>
      </c>
      <c r="S54" s="42" t="s">
        <v>562</v>
      </c>
      <c r="T54" s="42" t="s">
        <v>492</v>
      </c>
      <c r="U54" s="42" t="s">
        <v>479</v>
      </c>
      <c r="V54" s="42">
        <v>2020</v>
      </c>
    </row>
    <row r="55" spans="2:22" s="5" customFormat="1" ht="102" hidden="1" x14ac:dyDescent="0.25">
      <c r="B55" s="29" t="s">
        <v>219</v>
      </c>
      <c r="C55" s="29" t="s">
        <v>565</v>
      </c>
      <c r="D55" s="40" t="s">
        <v>556</v>
      </c>
      <c r="E55" s="40" t="s">
        <v>510</v>
      </c>
      <c r="F55" s="40" t="s">
        <v>539</v>
      </c>
      <c r="G55" s="40" t="s">
        <v>511</v>
      </c>
      <c r="H55" s="40" t="s">
        <v>559</v>
      </c>
      <c r="I55" s="29" t="s">
        <v>460</v>
      </c>
      <c r="J55" s="29" t="s">
        <v>461</v>
      </c>
      <c r="K55" s="29" t="s">
        <v>47</v>
      </c>
      <c r="L55" s="29">
        <v>84289</v>
      </c>
      <c r="M55" s="29">
        <v>12644</v>
      </c>
      <c r="N55" s="29">
        <v>0</v>
      </c>
      <c r="O55" s="29">
        <v>0</v>
      </c>
      <c r="P55" s="29">
        <v>0</v>
      </c>
      <c r="Q55" s="29">
        <v>71645</v>
      </c>
      <c r="R55" s="29">
        <v>0</v>
      </c>
      <c r="S55" s="42" t="s">
        <v>491</v>
      </c>
      <c r="T55" s="42" t="s">
        <v>487</v>
      </c>
      <c r="U55" s="42" t="s">
        <v>488</v>
      </c>
      <c r="V55" s="42">
        <v>2019</v>
      </c>
    </row>
    <row r="56" spans="2:22" s="5" customFormat="1" ht="89.25" hidden="1" x14ac:dyDescent="0.25">
      <c r="B56" s="29" t="s">
        <v>558</v>
      </c>
      <c r="C56" s="29" t="s">
        <v>566</v>
      </c>
      <c r="D56" s="40" t="s">
        <v>557</v>
      </c>
      <c r="E56" s="40" t="s">
        <v>474</v>
      </c>
      <c r="F56" s="40" t="s">
        <v>560</v>
      </c>
      <c r="G56" s="40" t="s">
        <v>475</v>
      </c>
      <c r="H56" s="40" t="s">
        <v>559</v>
      </c>
      <c r="I56" s="29" t="s">
        <v>468</v>
      </c>
      <c r="J56" s="29" t="s">
        <v>469</v>
      </c>
      <c r="K56" s="29" t="s">
        <v>470</v>
      </c>
      <c r="L56" s="29">
        <v>83865</v>
      </c>
      <c r="M56" s="29">
        <v>12580</v>
      </c>
      <c r="N56" s="29">
        <v>0</v>
      </c>
      <c r="O56" s="29">
        <v>0</v>
      </c>
      <c r="P56" s="29">
        <v>0</v>
      </c>
      <c r="Q56" s="29">
        <v>71285</v>
      </c>
      <c r="R56" s="29">
        <v>0</v>
      </c>
      <c r="S56" s="42" t="s">
        <v>483</v>
      </c>
      <c r="T56" s="42" t="s">
        <v>547</v>
      </c>
      <c r="U56" s="42" t="s">
        <v>488</v>
      </c>
      <c r="V56" s="42">
        <v>2019</v>
      </c>
    </row>
    <row r="57" spans="2:22" s="5" customFormat="1" ht="51" hidden="1" x14ac:dyDescent="0.25">
      <c r="B57" s="27" t="s">
        <v>223</v>
      </c>
      <c r="C57" s="27"/>
      <c r="D57" s="27" t="s">
        <v>224</v>
      </c>
      <c r="E57" s="27"/>
      <c r="F57" s="27"/>
      <c r="G57" s="27"/>
      <c r="H57" s="27"/>
      <c r="I57" s="27"/>
      <c r="J57" s="27"/>
      <c r="K57" s="27"/>
      <c r="L57" s="27"/>
      <c r="M57" s="27"/>
      <c r="N57" s="27"/>
      <c r="O57" s="27"/>
      <c r="P57" s="27"/>
      <c r="Q57" s="27"/>
      <c r="R57" s="27"/>
      <c r="S57" s="27"/>
      <c r="T57" s="27"/>
      <c r="U57" s="27"/>
      <c r="V57" s="27"/>
    </row>
    <row r="58" spans="2:22" s="5" customFormat="1" ht="15.75" hidden="1" customHeight="1" x14ac:dyDescent="0.25">
      <c r="B58" s="54"/>
      <c r="C58" s="54"/>
      <c r="D58" s="46"/>
      <c r="E58" s="46"/>
      <c r="F58" s="46"/>
      <c r="G58" s="46"/>
      <c r="H58" s="46"/>
      <c r="I58" s="54"/>
      <c r="J58" s="54"/>
      <c r="K58" s="54"/>
      <c r="L58" s="54"/>
      <c r="M58" s="54"/>
      <c r="N58" s="54"/>
      <c r="O58" s="54"/>
      <c r="P58" s="54"/>
      <c r="Q58" s="54"/>
      <c r="R58" s="54"/>
      <c r="S58" s="55"/>
      <c r="T58" s="55"/>
      <c r="U58" s="55"/>
      <c r="V58" s="55"/>
    </row>
    <row r="59" spans="2:22" s="87" customFormat="1" ht="53.25" hidden="1" customHeight="1" x14ac:dyDescent="0.25">
      <c r="B59" s="109" t="s">
        <v>225</v>
      </c>
      <c r="C59" s="109" t="s">
        <v>1023</v>
      </c>
      <c r="D59" s="111" t="s">
        <v>226</v>
      </c>
      <c r="E59" s="111" t="s">
        <v>506</v>
      </c>
      <c r="F59" s="111" t="s">
        <v>539</v>
      </c>
      <c r="G59" s="111" t="s">
        <v>546</v>
      </c>
      <c r="H59" s="111" t="s">
        <v>568</v>
      </c>
      <c r="I59" s="109" t="s">
        <v>509</v>
      </c>
      <c r="J59" s="109" t="s">
        <v>461</v>
      </c>
      <c r="K59" s="109" t="s">
        <v>47</v>
      </c>
      <c r="L59" s="109">
        <v>50000</v>
      </c>
      <c r="M59" s="109">
        <v>7500</v>
      </c>
      <c r="N59" s="109">
        <v>0</v>
      </c>
      <c r="O59" s="109">
        <v>0</v>
      </c>
      <c r="P59" s="109">
        <v>0</v>
      </c>
      <c r="Q59" s="109">
        <v>42500</v>
      </c>
      <c r="R59" s="109">
        <v>0</v>
      </c>
      <c r="S59" s="110" t="s">
        <v>569</v>
      </c>
      <c r="T59" s="110" t="s">
        <v>516</v>
      </c>
      <c r="U59" s="110" t="s">
        <v>576</v>
      </c>
      <c r="V59" s="110">
        <v>2016</v>
      </c>
    </row>
    <row r="60" spans="2:22" s="87" customFormat="1" ht="51.75" hidden="1" customHeight="1" x14ac:dyDescent="0.25">
      <c r="B60" s="29" t="s">
        <v>227</v>
      </c>
      <c r="C60" s="54" t="s">
        <v>577</v>
      </c>
      <c r="D60" s="89" t="s">
        <v>570</v>
      </c>
      <c r="E60" s="89" t="s">
        <v>506</v>
      </c>
      <c r="F60" s="89" t="s">
        <v>539</v>
      </c>
      <c r="G60" s="89" t="s">
        <v>507</v>
      </c>
      <c r="H60" s="89" t="s">
        <v>567</v>
      </c>
      <c r="I60" s="54" t="s">
        <v>460</v>
      </c>
      <c r="J60" s="54" t="s">
        <v>461</v>
      </c>
      <c r="K60" s="54" t="s">
        <v>47</v>
      </c>
      <c r="L60" s="54">
        <v>859809</v>
      </c>
      <c r="M60" s="54">
        <v>128971</v>
      </c>
      <c r="N60" s="54">
        <v>0</v>
      </c>
      <c r="O60" s="54">
        <v>0</v>
      </c>
      <c r="P60" s="54">
        <v>0</v>
      </c>
      <c r="Q60" s="54">
        <v>730838</v>
      </c>
      <c r="R60" s="54">
        <v>0</v>
      </c>
      <c r="S60" s="55" t="s">
        <v>487</v>
      </c>
      <c r="T60" s="55" t="s">
        <v>972</v>
      </c>
      <c r="U60" s="55" t="s">
        <v>485</v>
      </c>
      <c r="V60" s="55">
        <v>2020</v>
      </c>
    </row>
    <row r="61" spans="2:22" s="87" customFormat="1" ht="63" hidden="1" customHeight="1" x14ac:dyDescent="0.25">
      <c r="B61" s="109" t="s">
        <v>229</v>
      </c>
      <c r="C61" s="111" t="s">
        <v>578</v>
      </c>
      <c r="D61" s="111" t="s">
        <v>230</v>
      </c>
      <c r="E61" s="111" t="s">
        <v>510</v>
      </c>
      <c r="F61" s="111" t="s">
        <v>539</v>
      </c>
      <c r="G61" s="111" t="s">
        <v>544</v>
      </c>
      <c r="H61" s="111" t="s">
        <v>573</v>
      </c>
      <c r="I61" s="111" t="s">
        <v>509</v>
      </c>
      <c r="J61" s="111" t="s">
        <v>47</v>
      </c>
      <c r="K61" s="111" t="s">
        <v>47</v>
      </c>
      <c r="L61" s="111">
        <v>15700</v>
      </c>
      <c r="M61" s="129" t="s">
        <v>574</v>
      </c>
      <c r="N61" s="111">
        <v>0</v>
      </c>
      <c r="O61" s="111">
        <v>0</v>
      </c>
      <c r="P61" s="111">
        <v>0</v>
      </c>
      <c r="Q61" s="111">
        <v>13345</v>
      </c>
      <c r="R61" s="111">
        <v>0</v>
      </c>
      <c r="S61" s="111" t="s">
        <v>575</v>
      </c>
      <c r="T61" s="111" t="s">
        <v>486</v>
      </c>
      <c r="U61" s="111" t="s">
        <v>482</v>
      </c>
      <c r="V61" s="111">
        <v>2017</v>
      </c>
    </row>
    <row r="62" spans="2:22" s="87" customFormat="1" ht="65.25" hidden="1" customHeight="1" x14ac:dyDescent="0.25">
      <c r="B62" s="54" t="s">
        <v>1019</v>
      </c>
      <c r="C62" s="54" t="s">
        <v>1022</v>
      </c>
      <c r="D62" s="89" t="s">
        <v>1024</v>
      </c>
      <c r="E62" s="89" t="s">
        <v>510</v>
      </c>
      <c r="F62" s="89" t="s">
        <v>539</v>
      </c>
      <c r="G62" s="89" t="s">
        <v>544</v>
      </c>
      <c r="H62" s="89" t="s">
        <v>567</v>
      </c>
      <c r="I62" s="54" t="s">
        <v>460</v>
      </c>
      <c r="J62" s="54" t="s">
        <v>47</v>
      </c>
      <c r="K62" s="54" t="s">
        <v>47</v>
      </c>
      <c r="L62" s="54">
        <v>564705.89</v>
      </c>
      <c r="M62" s="54">
        <v>84705.89</v>
      </c>
      <c r="N62" s="54">
        <v>0</v>
      </c>
      <c r="O62" s="54">
        <v>0</v>
      </c>
      <c r="P62" s="54">
        <v>0</v>
      </c>
      <c r="Q62" s="54">
        <v>480000</v>
      </c>
      <c r="R62" s="54">
        <v>0</v>
      </c>
      <c r="S62" s="83" t="s">
        <v>487</v>
      </c>
      <c r="T62" s="55" t="s">
        <v>1020</v>
      </c>
      <c r="U62" s="55" t="s">
        <v>1021</v>
      </c>
      <c r="V62" s="55">
        <v>2020</v>
      </c>
    </row>
    <row r="63" spans="2:22" s="5" customFormat="1" ht="64.5" hidden="1" customHeight="1" x14ac:dyDescent="0.25">
      <c r="B63" s="27" t="s">
        <v>231</v>
      </c>
      <c r="C63" s="27"/>
      <c r="D63" s="27" t="s">
        <v>232</v>
      </c>
      <c r="E63" s="27"/>
      <c r="F63" s="27"/>
      <c r="G63" s="27"/>
      <c r="H63" s="27"/>
      <c r="I63" s="27"/>
      <c r="J63" s="27"/>
      <c r="K63" s="27"/>
      <c r="L63" s="27"/>
      <c r="M63" s="27"/>
      <c r="N63" s="27"/>
      <c r="O63" s="27"/>
      <c r="P63" s="27"/>
      <c r="Q63" s="27"/>
      <c r="R63" s="27"/>
      <c r="S63" s="27"/>
      <c r="T63" s="27"/>
      <c r="U63" s="27"/>
      <c r="V63" s="27"/>
    </row>
    <row r="64" spans="2:22" s="5" customFormat="1" ht="18.75" hidden="1" customHeight="1" x14ac:dyDescent="0.25">
      <c r="B64" s="73"/>
      <c r="C64" s="73"/>
      <c r="D64" s="74"/>
      <c r="E64" s="74"/>
      <c r="F64" s="74"/>
      <c r="G64" s="74"/>
      <c r="H64" s="74"/>
      <c r="I64" s="73"/>
      <c r="J64" s="73"/>
      <c r="K64" s="73"/>
      <c r="L64" s="73"/>
      <c r="M64" s="73"/>
      <c r="N64" s="73"/>
      <c r="O64" s="73"/>
      <c r="P64" s="73"/>
      <c r="Q64" s="73"/>
      <c r="R64" s="73"/>
      <c r="S64" s="75"/>
      <c r="T64" s="75"/>
      <c r="U64" s="75"/>
      <c r="V64" s="75"/>
    </row>
    <row r="65" spans="1:22" s="5" customFormat="1" ht="75.75" hidden="1" customHeight="1" x14ac:dyDescent="0.25">
      <c r="A65" s="53"/>
      <c r="B65" s="54" t="s">
        <v>233</v>
      </c>
      <c r="C65" s="54" t="s">
        <v>581</v>
      </c>
      <c r="D65" s="46" t="s">
        <v>580</v>
      </c>
      <c r="E65" s="46" t="s">
        <v>510</v>
      </c>
      <c r="F65" s="46" t="s">
        <v>539</v>
      </c>
      <c r="G65" s="46" t="s">
        <v>544</v>
      </c>
      <c r="H65" s="46" t="s">
        <v>579</v>
      </c>
      <c r="I65" s="54" t="s">
        <v>460</v>
      </c>
      <c r="J65" s="54" t="s">
        <v>47</v>
      </c>
      <c r="K65" s="54" t="s">
        <v>47</v>
      </c>
      <c r="L65" s="54">
        <v>813900</v>
      </c>
      <c r="M65" s="54">
        <v>122085</v>
      </c>
      <c r="N65" s="54">
        <v>0</v>
      </c>
      <c r="O65" s="54">
        <v>0</v>
      </c>
      <c r="P65" s="54">
        <v>0</v>
      </c>
      <c r="Q65" s="54">
        <v>691815</v>
      </c>
      <c r="R65" s="54">
        <v>0</v>
      </c>
      <c r="S65" s="83" t="s">
        <v>496</v>
      </c>
      <c r="T65" s="55" t="s">
        <v>487</v>
      </c>
      <c r="U65" s="55" t="s">
        <v>993</v>
      </c>
      <c r="V65" s="55">
        <v>2020</v>
      </c>
    </row>
    <row r="66" spans="1:22" s="5" customFormat="1" ht="43.5" hidden="1" customHeight="1" x14ac:dyDescent="0.25">
      <c r="A66" s="53"/>
      <c r="B66" s="81" t="s">
        <v>950</v>
      </c>
      <c r="C66" s="81"/>
      <c r="D66" s="81" t="s">
        <v>951</v>
      </c>
      <c r="E66" s="81"/>
      <c r="F66" s="81"/>
      <c r="G66" s="81"/>
      <c r="H66" s="81"/>
      <c r="I66" s="81"/>
      <c r="J66" s="81"/>
      <c r="K66" s="81"/>
      <c r="L66" s="81"/>
      <c r="M66" s="81"/>
      <c r="N66" s="81"/>
      <c r="O66" s="81"/>
      <c r="P66" s="81"/>
      <c r="Q66" s="81"/>
      <c r="R66" s="81"/>
      <c r="S66" s="81"/>
      <c r="T66" s="81"/>
      <c r="U66" s="81"/>
      <c r="V66" s="81"/>
    </row>
    <row r="67" spans="1:22" s="5" customFormat="1" ht="76.5" hidden="1" customHeight="1" x14ac:dyDescent="0.25">
      <c r="A67" s="53"/>
      <c r="B67" s="77" t="s">
        <v>235</v>
      </c>
      <c r="C67" s="78"/>
      <c r="D67" s="79" t="s">
        <v>236</v>
      </c>
      <c r="E67" s="78"/>
      <c r="F67" s="77"/>
      <c r="G67" s="78"/>
      <c r="H67" s="79"/>
      <c r="I67" s="78"/>
      <c r="J67" s="77"/>
      <c r="K67" s="78"/>
      <c r="L67" s="79"/>
      <c r="M67" s="78"/>
      <c r="N67" s="77"/>
      <c r="O67" s="78"/>
      <c r="P67" s="79"/>
      <c r="Q67" s="78"/>
      <c r="R67" s="77"/>
      <c r="S67" s="78"/>
      <c r="T67" s="79"/>
      <c r="U67" s="78"/>
      <c r="V67" s="77"/>
    </row>
    <row r="68" spans="1:22" s="5" customFormat="1" ht="63.75" hidden="1" x14ac:dyDescent="0.25">
      <c r="A68" s="53"/>
      <c r="B68" s="37" t="s">
        <v>237</v>
      </c>
      <c r="C68" s="37"/>
      <c r="D68" s="37" t="s">
        <v>238</v>
      </c>
      <c r="E68" s="37"/>
      <c r="F68" s="37"/>
      <c r="G68" s="37"/>
      <c r="H68" s="37"/>
      <c r="I68" s="37"/>
      <c r="J68" s="37"/>
      <c r="K68" s="37"/>
      <c r="L68" s="37"/>
      <c r="M68" s="37"/>
      <c r="N68" s="37"/>
      <c r="O68" s="37"/>
      <c r="P68" s="37"/>
      <c r="Q68" s="37"/>
      <c r="R68" s="37"/>
      <c r="S68" s="37"/>
      <c r="T68" s="37"/>
      <c r="U68" s="37"/>
      <c r="V68" s="37"/>
    </row>
    <row r="69" spans="1:22" s="5" customFormat="1" ht="63.75" hidden="1" x14ac:dyDescent="0.25">
      <c r="A69" s="53"/>
      <c r="B69" s="60" t="s">
        <v>239</v>
      </c>
      <c r="C69" s="60"/>
      <c r="D69" s="60" t="s">
        <v>240</v>
      </c>
      <c r="E69" s="60"/>
      <c r="F69" s="60"/>
      <c r="G69" s="60"/>
      <c r="H69" s="60"/>
      <c r="I69" s="60"/>
      <c r="J69" s="60"/>
      <c r="K69" s="60"/>
      <c r="L69" s="60"/>
      <c r="M69" s="60"/>
      <c r="N69" s="60"/>
      <c r="O69" s="60"/>
      <c r="P69" s="60"/>
      <c r="Q69" s="60"/>
      <c r="R69" s="60"/>
      <c r="S69" s="60"/>
      <c r="T69" s="60"/>
      <c r="U69" s="60"/>
      <c r="V69" s="60"/>
    </row>
    <row r="70" spans="1:22" s="5" customFormat="1" ht="102" hidden="1" x14ac:dyDescent="0.25">
      <c r="A70" s="53"/>
      <c r="B70" s="54" t="s">
        <v>241</v>
      </c>
      <c r="C70" s="54" t="s">
        <v>594</v>
      </c>
      <c r="D70" s="46" t="s">
        <v>242</v>
      </c>
      <c r="E70" s="46" t="s">
        <v>456</v>
      </c>
      <c r="F70" s="46" t="s">
        <v>582</v>
      </c>
      <c r="G70" s="46" t="s">
        <v>458</v>
      </c>
      <c r="H70" s="46" t="s">
        <v>583</v>
      </c>
      <c r="I70" s="54" t="s">
        <v>460</v>
      </c>
      <c r="J70" s="54" t="s">
        <v>461</v>
      </c>
      <c r="K70" s="54" t="s">
        <v>47</v>
      </c>
      <c r="L70" s="54">
        <v>511094</v>
      </c>
      <c r="M70" s="54">
        <v>76664</v>
      </c>
      <c r="N70" s="54">
        <v>0</v>
      </c>
      <c r="O70" s="54">
        <v>0</v>
      </c>
      <c r="P70" s="54">
        <v>0</v>
      </c>
      <c r="Q70" s="54">
        <v>434430</v>
      </c>
      <c r="R70" s="54">
        <v>0</v>
      </c>
      <c r="S70" s="55" t="s">
        <v>498</v>
      </c>
      <c r="T70" s="55" t="s">
        <v>482</v>
      </c>
      <c r="U70" s="55" t="s">
        <v>483</v>
      </c>
      <c r="V70" s="55">
        <v>2018</v>
      </c>
    </row>
    <row r="71" spans="1:22" s="5" customFormat="1" ht="114" hidden="1" customHeight="1" x14ac:dyDescent="0.25">
      <c r="A71" s="53"/>
      <c r="B71" s="54" t="s">
        <v>243</v>
      </c>
      <c r="C71" s="54" t="s">
        <v>595</v>
      </c>
      <c r="D71" s="46" t="s">
        <v>244</v>
      </c>
      <c r="E71" s="46" t="s">
        <v>584</v>
      </c>
      <c r="F71" s="46" t="s">
        <v>585</v>
      </c>
      <c r="G71" s="46" t="s">
        <v>586</v>
      </c>
      <c r="H71" s="46" t="s">
        <v>587</v>
      </c>
      <c r="I71" s="54" t="s">
        <v>468</v>
      </c>
      <c r="J71" s="54" t="s">
        <v>469</v>
      </c>
      <c r="K71" s="54" t="s">
        <v>470</v>
      </c>
      <c r="L71" s="54">
        <v>282956.7</v>
      </c>
      <c r="M71" s="54">
        <v>42443.51</v>
      </c>
      <c r="N71" s="54">
        <v>0</v>
      </c>
      <c r="O71" s="54">
        <v>0</v>
      </c>
      <c r="P71" s="54">
        <v>0</v>
      </c>
      <c r="Q71" s="54">
        <v>240513.19</v>
      </c>
      <c r="R71" s="54">
        <v>0</v>
      </c>
      <c r="S71" s="55" t="s">
        <v>591</v>
      </c>
      <c r="T71" s="55" t="s">
        <v>514</v>
      </c>
      <c r="U71" s="55" t="s">
        <v>592</v>
      </c>
      <c r="V71" s="55">
        <v>2018</v>
      </c>
    </row>
    <row r="72" spans="1:22" s="5" customFormat="1" ht="204" hidden="1" x14ac:dyDescent="0.25">
      <c r="A72" s="53"/>
      <c r="B72" s="54" t="s">
        <v>245</v>
      </c>
      <c r="C72" s="54" t="s">
        <v>596</v>
      </c>
      <c r="D72" s="46" t="s">
        <v>588</v>
      </c>
      <c r="E72" s="46" t="s">
        <v>471</v>
      </c>
      <c r="F72" s="46" t="s">
        <v>582</v>
      </c>
      <c r="G72" s="46" t="s">
        <v>589</v>
      </c>
      <c r="H72" s="46" t="s">
        <v>583</v>
      </c>
      <c r="I72" s="54" t="s">
        <v>460</v>
      </c>
      <c r="J72" s="54" t="s">
        <v>47</v>
      </c>
      <c r="K72" s="54" t="s">
        <v>47</v>
      </c>
      <c r="L72" s="54">
        <v>274660</v>
      </c>
      <c r="M72" s="54">
        <v>39011</v>
      </c>
      <c r="N72" s="54">
        <v>0</v>
      </c>
      <c r="O72" s="54">
        <v>0</v>
      </c>
      <c r="P72" s="54">
        <v>0</v>
      </c>
      <c r="Q72" s="54">
        <v>221058</v>
      </c>
      <c r="R72" s="54">
        <v>0</v>
      </c>
      <c r="S72" s="55" t="s">
        <v>498</v>
      </c>
      <c r="T72" s="55" t="s">
        <v>483</v>
      </c>
      <c r="U72" s="55" t="s">
        <v>495</v>
      </c>
      <c r="V72" s="55">
        <v>2019</v>
      </c>
    </row>
    <row r="73" spans="1:22" s="5" customFormat="1" ht="66.75" hidden="1" customHeight="1" x14ac:dyDescent="0.25">
      <c r="A73" s="53"/>
      <c r="B73" s="54" t="s">
        <v>247</v>
      </c>
      <c r="C73" s="54" t="s">
        <v>597</v>
      </c>
      <c r="D73" s="46" t="s">
        <v>248</v>
      </c>
      <c r="E73" s="46" t="s">
        <v>541</v>
      </c>
      <c r="F73" s="46" t="s">
        <v>582</v>
      </c>
      <c r="G73" s="46" t="s">
        <v>542</v>
      </c>
      <c r="H73" s="46" t="s">
        <v>590</v>
      </c>
      <c r="I73" s="54" t="s">
        <v>460</v>
      </c>
      <c r="J73" s="54" t="s">
        <v>47</v>
      </c>
      <c r="K73" s="54" t="s">
        <v>47</v>
      </c>
      <c r="L73" s="54">
        <v>337022.75</v>
      </c>
      <c r="M73" s="54">
        <v>52302.94</v>
      </c>
      <c r="N73" s="54">
        <v>0</v>
      </c>
      <c r="O73" s="54">
        <v>0</v>
      </c>
      <c r="P73" s="54">
        <v>0</v>
      </c>
      <c r="Q73" s="54">
        <v>284719.81</v>
      </c>
      <c r="R73" s="54">
        <v>0</v>
      </c>
      <c r="S73" s="55" t="s">
        <v>493</v>
      </c>
      <c r="T73" s="55" t="s">
        <v>483</v>
      </c>
      <c r="U73" s="55" t="s">
        <v>495</v>
      </c>
      <c r="V73" s="55" t="s">
        <v>593</v>
      </c>
    </row>
    <row r="74" spans="1:22" s="5" customFormat="1" ht="67.5" hidden="1" customHeight="1" x14ac:dyDescent="0.25">
      <c r="A74" s="53"/>
      <c r="B74" s="37" t="s">
        <v>249</v>
      </c>
      <c r="C74" s="37"/>
      <c r="D74" s="37" t="s">
        <v>250</v>
      </c>
      <c r="E74" s="37"/>
      <c r="F74" s="37"/>
      <c r="G74" s="37"/>
      <c r="H74" s="37"/>
      <c r="I74" s="37"/>
      <c r="J74" s="37"/>
      <c r="K74" s="37"/>
      <c r="L74" s="37"/>
      <c r="M74" s="37"/>
      <c r="N74" s="37"/>
      <c r="O74" s="37"/>
      <c r="P74" s="37"/>
      <c r="Q74" s="37"/>
      <c r="R74" s="37"/>
      <c r="S74" s="37"/>
      <c r="T74" s="37"/>
      <c r="U74" s="37"/>
      <c r="V74" s="37"/>
    </row>
    <row r="75" spans="1:22" s="5" customFormat="1" ht="102" hidden="1" customHeight="1" x14ac:dyDescent="0.25">
      <c r="A75" s="53"/>
      <c r="B75" s="60" t="s">
        <v>251</v>
      </c>
      <c r="C75" s="60"/>
      <c r="D75" s="60" t="s">
        <v>252</v>
      </c>
      <c r="E75" s="60"/>
      <c r="F75" s="60"/>
      <c r="G75" s="60"/>
      <c r="H75" s="60"/>
      <c r="I75" s="60"/>
      <c r="J75" s="60"/>
      <c r="K75" s="60"/>
      <c r="L75" s="60"/>
      <c r="M75" s="60"/>
      <c r="N75" s="60"/>
      <c r="O75" s="60"/>
      <c r="P75" s="60"/>
      <c r="Q75" s="60"/>
      <c r="R75" s="60"/>
      <c r="S75" s="60"/>
      <c r="T75" s="60"/>
      <c r="U75" s="60"/>
      <c r="V75" s="60"/>
    </row>
    <row r="76" spans="1:22" s="5" customFormat="1" ht="324.75" hidden="1" customHeight="1" x14ac:dyDescent="0.25">
      <c r="A76" s="53"/>
      <c r="B76" s="54" t="s">
        <v>253</v>
      </c>
      <c r="C76" s="54" t="s">
        <v>603</v>
      </c>
      <c r="D76" s="89" t="s">
        <v>254</v>
      </c>
      <c r="E76" s="89" t="s">
        <v>598</v>
      </c>
      <c r="F76" s="89" t="s">
        <v>599</v>
      </c>
      <c r="G76" s="89" t="s">
        <v>600</v>
      </c>
      <c r="H76" s="89" t="s">
        <v>891</v>
      </c>
      <c r="I76" s="54" t="s">
        <v>468</v>
      </c>
      <c r="J76" s="54" t="s">
        <v>470</v>
      </c>
      <c r="K76" s="54" t="s">
        <v>470</v>
      </c>
      <c r="L76" s="54">
        <v>298749.28000000003</v>
      </c>
      <c r="M76" s="62">
        <v>44812.4</v>
      </c>
      <c r="N76" s="54">
        <v>0</v>
      </c>
      <c r="O76" s="54">
        <v>0</v>
      </c>
      <c r="P76" s="54">
        <v>0</v>
      </c>
      <c r="Q76" s="55">
        <v>253936.88</v>
      </c>
      <c r="R76" s="54">
        <v>0</v>
      </c>
      <c r="S76" s="55" t="s">
        <v>602</v>
      </c>
      <c r="T76" s="55" t="s">
        <v>498</v>
      </c>
      <c r="U76" s="55" t="s">
        <v>496</v>
      </c>
      <c r="V76" s="55">
        <v>2018</v>
      </c>
    </row>
    <row r="77" spans="1:22" s="5" customFormat="1" ht="71.25" hidden="1" customHeight="1" x14ac:dyDescent="0.25">
      <c r="A77" s="53"/>
      <c r="B77" s="54" t="s">
        <v>1012</v>
      </c>
      <c r="C77" s="54" t="s">
        <v>1013</v>
      </c>
      <c r="D77" s="89" t="s">
        <v>1014</v>
      </c>
      <c r="E77" s="89" t="s">
        <v>503</v>
      </c>
      <c r="F77" s="89" t="s">
        <v>599</v>
      </c>
      <c r="G77" s="89" t="s">
        <v>1015</v>
      </c>
      <c r="H77" s="89" t="s">
        <v>891</v>
      </c>
      <c r="I77" s="54" t="s">
        <v>468</v>
      </c>
      <c r="J77" s="54" t="s">
        <v>470</v>
      </c>
      <c r="K77" s="54" t="s">
        <v>470</v>
      </c>
      <c r="L77" s="54">
        <v>341536.27</v>
      </c>
      <c r="M77" s="54">
        <v>51230.44</v>
      </c>
      <c r="N77" s="54">
        <v>0</v>
      </c>
      <c r="O77" s="54">
        <v>0</v>
      </c>
      <c r="P77" s="54">
        <v>0</v>
      </c>
      <c r="Q77" s="54">
        <v>290305.83</v>
      </c>
      <c r="R77" s="54">
        <v>0</v>
      </c>
      <c r="S77" s="83" t="s">
        <v>547</v>
      </c>
      <c r="T77" s="55" t="s">
        <v>644</v>
      </c>
      <c r="U77" s="55" t="s">
        <v>484</v>
      </c>
      <c r="V77" s="55">
        <v>2021</v>
      </c>
    </row>
    <row r="78" spans="1:22" s="5" customFormat="1" ht="45" hidden="1" customHeight="1" x14ac:dyDescent="0.25">
      <c r="A78" s="53"/>
      <c r="B78" s="77" t="s">
        <v>616</v>
      </c>
      <c r="C78" s="78"/>
      <c r="D78" s="79" t="s">
        <v>604</v>
      </c>
      <c r="E78" s="78"/>
      <c r="F78" s="77"/>
      <c r="G78" s="78"/>
      <c r="H78" s="79"/>
      <c r="I78" s="78"/>
      <c r="J78" s="77"/>
      <c r="K78" s="78"/>
      <c r="L78" s="79"/>
      <c r="M78" s="78"/>
      <c r="N78" s="77"/>
      <c r="O78" s="78"/>
      <c r="P78" s="79"/>
      <c r="Q78" s="78"/>
      <c r="R78" s="77"/>
      <c r="S78" s="78"/>
      <c r="T78" s="79"/>
      <c r="U78" s="78"/>
      <c r="V78" s="77"/>
    </row>
    <row r="79" spans="1:22" s="5" customFormat="1" ht="95.25" hidden="1" customHeight="1" x14ac:dyDescent="0.25">
      <c r="A79" s="53"/>
      <c r="B79" s="37" t="s">
        <v>257</v>
      </c>
      <c r="C79" s="37"/>
      <c r="D79" s="37" t="s">
        <v>258</v>
      </c>
      <c r="E79" s="37"/>
      <c r="F79" s="37"/>
      <c r="G79" s="37"/>
      <c r="H79" s="37" t="s">
        <v>292</v>
      </c>
      <c r="I79" s="37"/>
      <c r="J79" s="37"/>
      <c r="K79" s="37"/>
      <c r="L79" s="37"/>
      <c r="M79" s="37"/>
      <c r="N79" s="37"/>
      <c r="O79" s="37"/>
      <c r="P79" s="37"/>
      <c r="Q79" s="37"/>
      <c r="R79" s="37"/>
      <c r="S79" s="37"/>
      <c r="T79" s="37"/>
      <c r="U79" s="37"/>
      <c r="V79" s="37"/>
    </row>
    <row r="80" spans="1:22" s="5" customFormat="1" ht="117" customHeight="1" x14ac:dyDescent="0.25">
      <c r="A80" s="53"/>
      <c r="B80" s="60" t="s">
        <v>259</v>
      </c>
      <c r="C80" s="60"/>
      <c r="D80" s="60" t="s">
        <v>260</v>
      </c>
      <c r="E80" s="60"/>
      <c r="F80" s="60"/>
      <c r="G80" s="60"/>
      <c r="H80" s="60"/>
      <c r="I80" s="60"/>
      <c r="J80" s="60"/>
      <c r="K80" s="60"/>
      <c r="L80" s="60"/>
      <c r="M80" s="60"/>
      <c r="N80" s="60"/>
      <c r="O80" s="60"/>
      <c r="P80" s="60"/>
      <c r="Q80" s="60"/>
      <c r="R80" s="60"/>
      <c r="S80" s="60"/>
      <c r="T80" s="60"/>
      <c r="U80" s="60"/>
      <c r="V80" s="60"/>
    </row>
    <row r="81" spans="1:22" s="5" customFormat="1" ht="68.25" hidden="1" customHeight="1" x14ac:dyDescent="0.25">
      <c r="A81" s="53"/>
      <c r="B81" s="54" t="s">
        <v>261</v>
      </c>
      <c r="C81" s="54" t="s">
        <v>618</v>
      </c>
      <c r="D81" s="46" t="s">
        <v>605</v>
      </c>
      <c r="E81" s="46" t="s">
        <v>606</v>
      </c>
      <c r="F81" s="46" t="s">
        <v>607</v>
      </c>
      <c r="G81" s="46" t="s">
        <v>534</v>
      </c>
      <c r="H81" s="46" t="s">
        <v>608</v>
      </c>
      <c r="I81" s="54" t="s">
        <v>460</v>
      </c>
      <c r="J81" s="54"/>
      <c r="K81" s="54" t="s">
        <v>47</v>
      </c>
      <c r="L81" s="54">
        <v>1685986.17</v>
      </c>
      <c r="M81" s="54">
        <v>0</v>
      </c>
      <c r="N81" s="54">
        <v>0</v>
      </c>
      <c r="O81" s="54">
        <v>896977.39</v>
      </c>
      <c r="P81" s="54">
        <v>0</v>
      </c>
      <c r="Q81" s="54">
        <v>789008.78</v>
      </c>
      <c r="R81" s="54">
        <v>0</v>
      </c>
      <c r="S81" s="55" t="s">
        <v>576</v>
      </c>
      <c r="T81" s="55" t="s">
        <v>486</v>
      </c>
      <c r="U81" s="55" t="s">
        <v>493</v>
      </c>
      <c r="V81" s="55">
        <v>2019</v>
      </c>
    </row>
    <row r="82" spans="1:22" s="5" customFormat="1" ht="93" hidden="1" customHeight="1" x14ac:dyDescent="0.25">
      <c r="A82" s="53"/>
      <c r="B82" s="54" t="s">
        <v>263</v>
      </c>
      <c r="C82" s="54" t="s">
        <v>957</v>
      </c>
      <c r="D82" s="46" t="s">
        <v>609</v>
      </c>
      <c r="E82" s="46" t="s">
        <v>610</v>
      </c>
      <c r="F82" s="46" t="s">
        <v>607</v>
      </c>
      <c r="G82" s="46" t="s">
        <v>542</v>
      </c>
      <c r="H82" s="46" t="s">
        <v>608</v>
      </c>
      <c r="I82" s="54" t="s">
        <v>460</v>
      </c>
      <c r="J82" s="54"/>
      <c r="K82" s="54" t="s">
        <v>47</v>
      </c>
      <c r="L82" s="54">
        <v>1229574.68</v>
      </c>
      <c r="M82" s="54">
        <v>77088.759999999995</v>
      </c>
      <c r="N82" s="54">
        <v>0</v>
      </c>
      <c r="O82" s="54">
        <v>328651.52000000002</v>
      </c>
      <c r="P82" s="54">
        <v>0</v>
      </c>
      <c r="Q82" s="54">
        <v>823834.4</v>
      </c>
      <c r="R82" s="54">
        <v>0</v>
      </c>
      <c r="S82" s="55" t="s">
        <v>517</v>
      </c>
      <c r="T82" s="55" t="s">
        <v>536</v>
      </c>
      <c r="U82" s="55" t="s">
        <v>496</v>
      </c>
      <c r="V82" s="55">
        <v>2019</v>
      </c>
    </row>
    <row r="83" spans="1:22" s="5" customFormat="1" ht="51.75" hidden="1" customHeight="1" x14ac:dyDescent="0.25">
      <c r="A83" s="53"/>
      <c r="B83" s="54" t="s">
        <v>265</v>
      </c>
      <c r="C83" s="54" t="s">
        <v>619</v>
      </c>
      <c r="D83" s="46" t="s">
        <v>266</v>
      </c>
      <c r="E83" s="46" t="s">
        <v>611</v>
      </c>
      <c r="F83" s="46" t="s">
        <v>607</v>
      </c>
      <c r="G83" s="46" t="s">
        <v>507</v>
      </c>
      <c r="H83" s="46" t="s">
        <v>608</v>
      </c>
      <c r="I83" s="54" t="s">
        <v>460</v>
      </c>
      <c r="J83" s="54" t="s">
        <v>461</v>
      </c>
      <c r="K83" s="54" t="s">
        <v>47</v>
      </c>
      <c r="L83" s="54">
        <v>3765060</v>
      </c>
      <c r="M83" s="54">
        <v>0</v>
      </c>
      <c r="N83" s="54">
        <v>0</v>
      </c>
      <c r="O83" s="54">
        <v>2047827</v>
      </c>
      <c r="P83" s="54">
        <v>0</v>
      </c>
      <c r="Q83" s="54">
        <v>1717232.99</v>
      </c>
      <c r="R83" s="54">
        <v>0</v>
      </c>
      <c r="S83" s="55" t="s">
        <v>576</v>
      </c>
      <c r="T83" s="55" t="s">
        <v>617</v>
      </c>
      <c r="U83" s="55" t="s">
        <v>602</v>
      </c>
      <c r="V83" s="55">
        <v>2018</v>
      </c>
    </row>
    <row r="84" spans="1:22" s="5" customFormat="1" ht="89.25" hidden="1" customHeight="1" x14ac:dyDescent="0.25">
      <c r="A84" s="53"/>
      <c r="B84" s="54" t="s">
        <v>267</v>
      </c>
      <c r="C84" s="54" t="s">
        <v>954</v>
      </c>
      <c r="D84" s="46" t="s">
        <v>268</v>
      </c>
      <c r="E84" s="46" t="s">
        <v>612</v>
      </c>
      <c r="F84" s="46" t="s">
        <v>607</v>
      </c>
      <c r="G84" s="46" t="s">
        <v>463</v>
      </c>
      <c r="H84" s="46" t="s">
        <v>608</v>
      </c>
      <c r="I84" s="54" t="s">
        <v>460</v>
      </c>
      <c r="J84" s="54" t="s">
        <v>47</v>
      </c>
      <c r="K84" s="54" t="s">
        <v>47</v>
      </c>
      <c r="L84" s="54">
        <v>1695696</v>
      </c>
      <c r="M84" s="54">
        <v>0</v>
      </c>
      <c r="N84" s="54">
        <v>0</v>
      </c>
      <c r="O84" s="54">
        <v>585288</v>
      </c>
      <c r="P84" s="54">
        <v>0</v>
      </c>
      <c r="Q84" s="54">
        <v>1110408</v>
      </c>
      <c r="R84" s="54">
        <v>0</v>
      </c>
      <c r="S84" s="55" t="s">
        <v>512</v>
      </c>
      <c r="T84" s="55" t="s">
        <v>486</v>
      </c>
      <c r="U84" s="55" t="s">
        <v>493</v>
      </c>
      <c r="V84" s="55">
        <v>2019</v>
      </c>
    </row>
    <row r="85" spans="1:22" s="5" customFormat="1" ht="90" hidden="1" customHeight="1" x14ac:dyDescent="0.25">
      <c r="A85" s="53"/>
      <c r="B85" s="54" t="s">
        <v>269</v>
      </c>
      <c r="C85" s="54" t="s">
        <v>955</v>
      </c>
      <c r="D85" s="89" t="s">
        <v>613</v>
      </c>
      <c r="E85" s="89" t="s">
        <v>1031</v>
      </c>
      <c r="F85" s="89" t="s">
        <v>607</v>
      </c>
      <c r="G85" s="89" t="s">
        <v>472</v>
      </c>
      <c r="H85" s="89" t="s">
        <v>608</v>
      </c>
      <c r="I85" s="54" t="s">
        <v>460</v>
      </c>
      <c r="J85" s="54" t="s">
        <v>47</v>
      </c>
      <c r="K85" s="54" t="s">
        <v>47</v>
      </c>
      <c r="L85" s="54">
        <v>1226741.69</v>
      </c>
      <c r="M85" s="54">
        <v>0</v>
      </c>
      <c r="N85" s="54">
        <v>0</v>
      </c>
      <c r="O85" s="54">
        <v>401942.85</v>
      </c>
      <c r="P85" s="54">
        <v>0</v>
      </c>
      <c r="Q85" s="54">
        <v>824798.84</v>
      </c>
      <c r="R85" s="54">
        <v>0</v>
      </c>
      <c r="S85" s="55" t="s">
        <v>517</v>
      </c>
      <c r="T85" s="55" t="s">
        <v>536</v>
      </c>
      <c r="U85" s="55" t="s">
        <v>493</v>
      </c>
      <c r="V85" s="55">
        <v>2020</v>
      </c>
    </row>
    <row r="86" spans="1:22" s="5" customFormat="1" ht="66" hidden="1" customHeight="1" x14ac:dyDescent="0.25">
      <c r="A86" s="53"/>
      <c r="B86" s="54" t="s">
        <v>271</v>
      </c>
      <c r="C86" s="54" t="s">
        <v>948</v>
      </c>
      <c r="D86" s="46" t="s">
        <v>958</v>
      </c>
      <c r="E86" s="46" t="s">
        <v>615</v>
      </c>
      <c r="F86" s="46" t="s">
        <v>607</v>
      </c>
      <c r="G86" s="46" t="s">
        <v>544</v>
      </c>
      <c r="H86" s="46" t="s">
        <v>608</v>
      </c>
      <c r="I86" s="54" t="s">
        <v>460</v>
      </c>
      <c r="J86" s="54" t="s">
        <v>47</v>
      </c>
      <c r="K86" s="54" t="s">
        <v>47</v>
      </c>
      <c r="L86" s="54">
        <v>2011598.52</v>
      </c>
      <c r="M86" s="54">
        <v>0</v>
      </c>
      <c r="N86" s="54">
        <v>0</v>
      </c>
      <c r="O86" s="62">
        <v>402319.7</v>
      </c>
      <c r="P86" s="54">
        <v>0</v>
      </c>
      <c r="Q86" s="62">
        <v>1609278.82</v>
      </c>
      <c r="R86" s="54">
        <v>0</v>
      </c>
      <c r="S86" s="55" t="s">
        <v>517</v>
      </c>
      <c r="T86" s="55" t="s">
        <v>486</v>
      </c>
      <c r="U86" s="55" t="s">
        <v>493</v>
      </c>
      <c r="V86" s="55">
        <v>2019</v>
      </c>
    </row>
    <row r="87" spans="1:22" s="5" customFormat="1" ht="78" hidden="1" customHeight="1" x14ac:dyDescent="0.25">
      <c r="A87" s="53"/>
      <c r="B87" s="54" t="s">
        <v>959</v>
      </c>
      <c r="C87" s="54" t="s">
        <v>960</v>
      </c>
      <c r="D87" s="89" t="s">
        <v>961</v>
      </c>
      <c r="E87" s="89" t="s">
        <v>962</v>
      </c>
      <c r="F87" s="89" t="s">
        <v>607</v>
      </c>
      <c r="G87" s="89" t="s">
        <v>534</v>
      </c>
      <c r="H87" s="89" t="s">
        <v>608</v>
      </c>
      <c r="I87" s="54" t="s">
        <v>460</v>
      </c>
      <c r="J87" s="54" t="s">
        <v>47</v>
      </c>
      <c r="K87" s="54" t="s">
        <v>47</v>
      </c>
      <c r="L87" s="54">
        <v>404941.75</v>
      </c>
      <c r="M87" s="54">
        <v>169000</v>
      </c>
      <c r="N87" s="54">
        <v>0</v>
      </c>
      <c r="O87" s="54">
        <v>66941.75</v>
      </c>
      <c r="P87" s="54">
        <v>0</v>
      </c>
      <c r="Q87" s="54">
        <v>169000</v>
      </c>
      <c r="R87" s="54">
        <v>0</v>
      </c>
      <c r="S87" s="55" t="s">
        <v>487</v>
      </c>
      <c r="T87" s="55" t="s">
        <v>484</v>
      </c>
      <c r="U87" s="55" t="s">
        <v>972</v>
      </c>
      <c r="V87" s="55">
        <v>2021</v>
      </c>
    </row>
    <row r="88" spans="1:22" s="5" customFormat="1" ht="79.5" hidden="1" customHeight="1" x14ac:dyDescent="0.25">
      <c r="A88" s="53"/>
      <c r="B88" s="54" t="s">
        <v>963</v>
      </c>
      <c r="C88" s="54" t="s">
        <v>964</v>
      </c>
      <c r="D88" s="46" t="s">
        <v>965</v>
      </c>
      <c r="E88" s="46" t="s">
        <v>615</v>
      </c>
      <c r="F88" s="46" t="s">
        <v>607</v>
      </c>
      <c r="G88" s="46" t="s">
        <v>544</v>
      </c>
      <c r="H88" s="46" t="s">
        <v>608</v>
      </c>
      <c r="I88" s="54" t="s">
        <v>460</v>
      </c>
      <c r="J88" s="54" t="s">
        <v>47</v>
      </c>
      <c r="K88" s="54" t="s">
        <v>47</v>
      </c>
      <c r="L88" s="54">
        <v>718750</v>
      </c>
      <c r="M88" s="54">
        <v>0</v>
      </c>
      <c r="N88" s="54">
        <v>0</v>
      </c>
      <c r="O88" s="54">
        <v>143750</v>
      </c>
      <c r="P88" s="54">
        <v>0</v>
      </c>
      <c r="Q88" s="54">
        <v>575000</v>
      </c>
      <c r="R88" s="54">
        <v>0</v>
      </c>
      <c r="S88" s="55" t="s">
        <v>487</v>
      </c>
      <c r="T88" s="55" t="s">
        <v>643</v>
      </c>
      <c r="U88" s="55" t="s">
        <v>646</v>
      </c>
      <c r="V88" s="55">
        <v>2021</v>
      </c>
    </row>
    <row r="89" spans="1:22" s="87" customFormat="1" ht="102.75" customHeight="1" x14ac:dyDescent="0.25">
      <c r="A89" s="98"/>
      <c r="B89" s="54" t="s">
        <v>966</v>
      </c>
      <c r="C89" s="54" t="s">
        <v>967</v>
      </c>
      <c r="D89" s="89" t="s">
        <v>1011</v>
      </c>
      <c r="E89" s="89" t="s">
        <v>612</v>
      </c>
      <c r="F89" s="89" t="s">
        <v>607</v>
      </c>
      <c r="G89" s="89" t="s">
        <v>463</v>
      </c>
      <c r="H89" s="89" t="s">
        <v>608</v>
      </c>
      <c r="I89" s="54" t="s">
        <v>460</v>
      </c>
      <c r="J89" s="54" t="s">
        <v>47</v>
      </c>
      <c r="K89" s="62" t="s">
        <v>47</v>
      </c>
      <c r="L89" s="62">
        <v>1193327.6499999999</v>
      </c>
      <c r="M89" s="62">
        <v>0</v>
      </c>
      <c r="N89" s="54">
        <v>0</v>
      </c>
      <c r="O89" s="62">
        <v>730691.65</v>
      </c>
      <c r="P89" s="54">
        <v>0</v>
      </c>
      <c r="Q89" s="54">
        <v>462636</v>
      </c>
      <c r="R89" s="54">
        <v>0</v>
      </c>
      <c r="S89" s="55" t="s">
        <v>547</v>
      </c>
      <c r="T89" s="55" t="s">
        <v>644</v>
      </c>
      <c r="U89" s="55" t="s">
        <v>484</v>
      </c>
      <c r="V89" s="55">
        <v>2020</v>
      </c>
    </row>
    <row r="90" spans="1:22" s="87" customFormat="1" ht="101.25" hidden="1" customHeight="1" x14ac:dyDescent="0.25">
      <c r="A90" s="98" t="s">
        <v>292</v>
      </c>
      <c r="B90" s="54" t="s">
        <v>970</v>
      </c>
      <c r="C90" s="54" t="s">
        <v>971</v>
      </c>
      <c r="D90" s="89" t="s">
        <v>969</v>
      </c>
      <c r="E90" s="89" t="s">
        <v>610</v>
      </c>
      <c r="F90" s="89" t="s">
        <v>607</v>
      </c>
      <c r="G90" s="89" t="s">
        <v>542</v>
      </c>
      <c r="H90" s="89" t="s">
        <v>608</v>
      </c>
      <c r="I90" s="54" t="s">
        <v>460</v>
      </c>
      <c r="J90" s="54" t="s">
        <v>47</v>
      </c>
      <c r="K90" s="54" t="s">
        <v>47</v>
      </c>
      <c r="L90" s="62">
        <v>677199.48</v>
      </c>
      <c r="M90" s="62">
        <v>271961.78000000003</v>
      </c>
      <c r="N90" s="54">
        <v>0</v>
      </c>
      <c r="O90" s="54">
        <v>30237.7</v>
      </c>
      <c r="P90" s="54">
        <v>0</v>
      </c>
      <c r="Q90" s="54">
        <v>375000</v>
      </c>
      <c r="R90" s="54"/>
      <c r="S90" s="55" t="s">
        <v>547</v>
      </c>
      <c r="T90" s="55" t="s">
        <v>644</v>
      </c>
      <c r="U90" s="55" t="s">
        <v>484</v>
      </c>
      <c r="V90" s="55">
        <v>2021</v>
      </c>
    </row>
    <row r="91" spans="1:22" s="87" customFormat="1" ht="101.25" customHeight="1" x14ac:dyDescent="0.25">
      <c r="A91" s="98"/>
      <c r="B91" s="54" t="s">
        <v>1028</v>
      </c>
      <c r="C91" s="54" t="s">
        <v>1029</v>
      </c>
      <c r="D91" s="89" t="s">
        <v>1030</v>
      </c>
      <c r="E91" s="89" t="s">
        <v>1031</v>
      </c>
      <c r="F91" s="89" t="s">
        <v>607</v>
      </c>
      <c r="G91" s="89" t="s">
        <v>589</v>
      </c>
      <c r="H91" s="89" t="s">
        <v>608</v>
      </c>
      <c r="I91" s="54" t="s">
        <v>460</v>
      </c>
      <c r="J91" s="54" t="s">
        <v>47</v>
      </c>
      <c r="K91" s="54" t="s">
        <v>47</v>
      </c>
      <c r="L91" s="62">
        <v>628101.72</v>
      </c>
      <c r="M91" s="62">
        <v>314367.53000000003</v>
      </c>
      <c r="N91" s="54">
        <v>0</v>
      </c>
      <c r="O91" s="54">
        <v>0</v>
      </c>
      <c r="P91" s="54">
        <v>0</v>
      </c>
      <c r="Q91" s="54">
        <v>313734.19</v>
      </c>
      <c r="R91" s="54">
        <v>0</v>
      </c>
      <c r="S91" s="55" t="s">
        <v>547</v>
      </c>
      <c r="T91" s="55" t="s">
        <v>644</v>
      </c>
      <c r="U91" s="55" t="s">
        <v>484</v>
      </c>
      <c r="V91" s="55">
        <v>2021</v>
      </c>
    </row>
    <row r="92" spans="1:22" s="5" customFormat="1" ht="56.25" hidden="1" customHeight="1" x14ac:dyDescent="0.25">
      <c r="A92" s="53"/>
      <c r="B92" s="60" t="s">
        <v>272</v>
      </c>
      <c r="C92" s="60"/>
      <c r="D92" s="60" t="s">
        <v>273</v>
      </c>
      <c r="E92" s="60"/>
      <c r="F92" s="60"/>
      <c r="G92" s="60"/>
      <c r="H92" s="60"/>
      <c r="I92" s="60"/>
      <c r="J92" s="60"/>
      <c r="K92" s="60"/>
      <c r="L92" s="60"/>
      <c r="M92" s="60"/>
      <c r="N92" s="60"/>
      <c r="O92" s="60"/>
      <c r="P92" s="60"/>
      <c r="Q92" s="60"/>
      <c r="R92" s="60"/>
      <c r="S92" s="60"/>
      <c r="T92" s="60"/>
      <c r="U92" s="60"/>
      <c r="V92" s="60"/>
    </row>
    <row r="93" spans="1:22" s="5" customFormat="1" ht="88.5" hidden="1" customHeight="1" x14ac:dyDescent="0.25">
      <c r="A93" s="53"/>
      <c r="B93" s="54" t="s">
        <v>274</v>
      </c>
      <c r="C93" s="54" t="s">
        <v>624</v>
      </c>
      <c r="D93" s="46" t="s">
        <v>275</v>
      </c>
      <c r="E93" s="46" t="s">
        <v>620</v>
      </c>
      <c r="F93" s="46" t="s">
        <v>607</v>
      </c>
      <c r="G93" s="46" t="s">
        <v>511</v>
      </c>
      <c r="H93" s="46" t="s">
        <v>621</v>
      </c>
      <c r="I93" s="54" t="s">
        <v>460</v>
      </c>
      <c r="J93" s="54"/>
      <c r="K93" s="54" t="s">
        <v>47</v>
      </c>
      <c r="L93" s="54">
        <v>1018412.87</v>
      </c>
      <c r="M93" s="54">
        <v>0</v>
      </c>
      <c r="N93" s="54">
        <v>0</v>
      </c>
      <c r="O93" s="54">
        <v>152761.93</v>
      </c>
      <c r="P93" s="54">
        <v>0</v>
      </c>
      <c r="Q93" s="54">
        <v>865650.94</v>
      </c>
      <c r="R93" s="54">
        <v>0</v>
      </c>
      <c r="S93" s="55" t="s">
        <v>517</v>
      </c>
      <c r="T93" s="55" t="s">
        <v>486</v>
      </c>
      <c r="U93" s="55" t="s">
        <v>482</v>
      </c>
      <c r="V93" s="55">
        <v>2019</v>
      </c>
    </row>
    <row r="94" spans="1:22" s="5" customFormat="1" ht="104.25" hidden="1" customHeight="1" x14ac:dyDescent="0.25">
      <c r="A94" s="53"/>
      <c r="B94" s="54" t="s">
        <v>276</v>
      </c>
      <c r="C94" s="54" t="s">
        <v>625</v>
      </c>
      <c r="D94" s="46" t="s">
        <v>277</v>
      </c>
      <c r="E94" s="46" t="s">
        <v>622</v>
      </c>
      <c r="F94" s="46" t="s">
        <v>607</v>
      </c>
      <c r="G94" s="46" t="s">
        <v>546</v>
      </c>
      <c r="H94" s="46" t="s">
        <v>623</v>
      </c>
      <c r="I94" s="54" t="s">
        <v>460</v>
      </c>
      <c r="J94" s="54" t="s">
        <v>461</v>
      </c>
      <c r="K94" s="54" t="s">
        <v>47</v>
      </c>
      <c r="L94" s="54">
        <v>1035231</v>
      </c>
      <c r="M94" s="54">
        <v>155285</v>
      </c>
      <c r="N94" s="54">
        <v>0</v>
      </c>
      <c r="O94" s="54">
        <v>0</v>
      </c>
      <c r="P94" s="54">
        <v>0</v>
      </c>
      <c r="Q94" s="54">
        <v>879946</v>
      </c>
      <c r="R94" s="54">
        <v>0</v>
      </c>
      <c r="S94" s="55" t="s">
        <v>517</v>
      </c>
      <c r="T94" s="55" t="s">
        <v>493</v>
      </c>
      <c r="U94" s="55" t="s">
        <v>496</v>
      </c>
      <c r="V94" s="55">
        <v>2018</v>
      </c>
    </row>
    <row r="95" spans="1:22" s="5" customFormat="1" ht="69" hidden="1" customHeight="1" x14ac:dyDescent="0.25">
      <c r="A95" s="53"/>
      <c r="B95" s="60" t="s">
        <v>278</v>
      </c>
      <c r="C95" s="60"/>
      <c r="D95" s="60" t="s">
        <v>279</v>
      </c>
      <c r="E95" s="60"/>
      <c r="F95" s="60"/>
      <c r="G95" s="60"/>
      <c r="H95" s="60"/>
      <c r="I95" s="60"/>
      <c r="J95" s="60"/>
      <c r="K95" s="60"/>
      <c r="L95" s="60"/>
      <c r="M95" s="60"/>
      <c r="N95" s="60"/>
      <c r="O95" s="60"/>
      <c r="P95" s="60"/>
      <c r="Q95" s="60"/>
      <c r="R95" s="60"/>
      <c r="S95" s="60"/>
      <c r="T95" s="60"/>
      <c r="U95" s="60"/>
      <c r="V95" s="60"/>
    </row>
    <row r="96" spans="1:22" s="5" customFormat="1" ht="63.75" hidden="1" customHeight="1" x14ac:dyDescent="0.25">
      <c r="A96" s="53"/>
      <c r="B96" s="54" t="s">
        <v>280</v>
      </c>
      <c r="C96" s="54" t="s">
        <v>635</v>
      </c>
      <c r="D96" s="46" t="s">
        <v>281</v>
      </c>
      <c r="E96" s="46" t="s">
        <v>506</v>
      </c>
      <c r="F96" s="46" t="s">
        <v>607</v>
      </c>
      <c r="G96" s="46" t="s">
        <v>507</v>
      </c>
      <c r="H96" s="46" t="s">
        <v>626</v>
      </c>
      <c r="I96" s="54" t="s">
        <v>460</v>
      </c>
      <c r="J96" s="54" t="s">
        <v>47</v>
      </c>
      <c r="K96" s="54" t="s">
        <v>47</v>
      </c>
      <c r="L96" s="54">
        <v>670569.16</v>
      </c>
      <c r="M96" s="54">
        <v>165799.16</v>
      </c>
      <c r="N96" s="54">
        <v>0</v>
      </c>
      <c r="O96" s="54">
        <v>0</v>
      </c>
      <c r="P96" s="54">
        <v>0</v>
      </c>
      <c r="Q96" s="54">
        <v>504770</v>
      </c>
      <c r="R96" s="54">
        <v>0</v>
      </c>
      <c r="S96" s="55" t="s">
        <v>536</v>
      </c>
      <c r="T96" s="55" t="s">
        <v>493</v>
      </c>
      <c r="U96" s="55" t="s">
        <v>496</v>
      </c>
      <c r="V96" s="55">
        <v>2018</v>
      </c>
    </row>
    <row r="97" spans="1:22" s="5" customFormat="1" ht="141" hidden="1" customHeight="1" x14ac:dyDescent="0.25">
      <c r="A97" s="53"/>
      <c r="B97" s="54" t="s">
        <v>282</v>
      </c>
      <c r="C97" s="54" t="s">
        <v>636</v>
      </c>
      <c r="D97" s="46" t="s">
        <v>283</v>
      </c>
      <c r="E97" s="46" t="s">
        <v>627</v>
      </c>
      <c r="F97" s="46" t="s">
        <v>607</v>
      </c>
      <c r="G97" s="46" t="s">
        <v>504</v>
      </c>
      <c r="H97" s="46" t="s">
        <v>628</v>
      </c>
      <c r="I97" s="54" t="s">
        <v>460</v>
      </c>
      <c r="J97" s="54"/>
      <c r="K97" s="54" t="s">
        <v>47</v>
      </c>
      <c r="L97" s="54">
        <v>400317.65</v>
      </c>
      <c r="M97" s="54">
        <v>38069.25</v>
      </c>
      <c r="N97" s="54">
        <v>0</v>
      </c>
      <c r="O97" s="54">
        <v>21978.400000000001</v>
      </c>
      <c r="P97" s="54">
        <v>0</v>
      </c>
      <c r="Q97" s="54">
        <v>340270</v>
      </c>
      <c r="R97" s="54">
        <v>0</v>
      </c>
      <c r="S97" s="55" t="s">
        <v>513</v>
      </c>
      <c r="T97" s="55" t="s">
        <v>496</v>
      </c>
      <c r="U97" s="55" t="s">
        <v>633</v>
      </c>
      <c r="V97" s="55">
        <v>2018</v>
      </c>
    </row>
    <row r="98" spans="1:22" s="5" customFormat="1" ht="138.75" hidden="1" customHeight="1" x14ac:dyDescent="0.25">
      <c r="A98" s="53"/>
      <c r="B98" s="54" t="s">
        <v>284</v>
      </c>
      <c r="C98" s="54" t="s">
        <v>637</v>
      </c>
      <c r="D98" s="46" t="s">
        <v>285</v>
      </c>
      <c r="E98" s="46" t="s">
        <v>629</v>
      </c>
      <c r="F98" s="46" t="s">
        <v>607</v>
      </c>
      <c r="G98" s="46" t="s">
        <v>458</v>
      </c>
      <c r="H98" s="46" t="s">
        <v>626</v>
      </c>
      <c r="I98" s="54" t="s">
        <v>460</v>
      </c>
      <c r="J98" s="54" t="s">
        <v>47</v>
      </c>
      <c r="K98" s="54" t="s">
        <v>47</v>
      </c>
      <c r="L98" s="54">
        <v>610906</v>
      </c>
      <c r="M98" s="54">
        <v>85549.48</v>
      </c>
      <c r="N98" s="54">
        <v>0</v>
      </c>
      <c r="O98" s="54">
        <v>0</v>
      </c>
      <c r="P98" s="54">
        <v>6086.52</v>
      </c>
      <c r="Q98" s="54">
        <v>519270</v>
      </c>
      <c r="R98" s="54">
        <v>0</v>
      </c>
      <c r="S98" s="55" t="s">
        <v>634</v>
      </c>
      <c r="T98" s="55" t="s">
        <v>493</v>
      </c>
      <c r="U98" s="55" t="s">
        <v>496</v>
      </c>
      <c r="V98" s="55">
        <v>2018</v>
      </c>
    </row>
    <row r="99" spans="1:22" s="5" customFormat="1" ht="143.25" hidden="1" customHeight="1" x14ac:dyDescent="0.25">
      <c r="A99" s="53"/>
      <c r="B99" s="54" t="s">
        <v>286</v>
      </c>
      <c r="C99" s="54" t="s">
        <v>638</v>
      </c>
      <c r="D99" s="46" t="s">
        <v>287</v>
      </c>
      <c r="E99" s="46" t="s">
        <v>630</v>
      </c>
      <c r="F99" s="46" t="s">
        <v>607</v>
      </c>
      <c r="G99" s="46" t="s">
        <v>472</v>
      </c>
      <c r="H99" s="46" t="s">
        <v>626</v>
      </c>
      <c r="I99" s="54" t="s">
        <v>460</v>
      </c>
      <c r="J99" s="54" t="s">
        <v>47</v>
      </c>
      <c r="K99" s="54" t="s">
        <v>47</v>
      </c>
      <c r="L99" s="54">
        <v>546406</v>
      </c>
      <c r="M99" s="54">
        <v>87136</v>
      </c>
      <c r="N99" s="54">
        <v>0</v>
      </c>
      <c r="O99" s="54">
        <v>0</v>
      </c>
      <c r="P99" s="54">
        <v>0</v>
      </c>
      <c r="Q99" s="54">
        <v>459270</v>
      </c>
      <c r="R99" s="54">
        <v>0</v>
      </c>
      <c r="S99" s="55" t="s">
        <v>513</v>
      </c>
      <c r="T99" s="55" t="s">
        <v>499</v>
      </c>
      <c r="U99" s="55" t="s">
        <v>495</v>
      </c>
      <c r="V99" s="55">
        <v>2018</v>
      </c>
    </row>
    <row r="100" spans="1:22" s="5" customFormat="1" ht="143.25" hidden="1" customHeight="1" x14ac:dyDescent="0.25">
      <c r="A100" s="53"/>
      <c r="B100" s="54" t="s">
        <v>288</v>
      </c>
      <c r="C100" s="54" t="s">
        <v>639</v>
      </c>
      <c r="D100" s="46" t="s">
        <v>289</v>
      </c>
      <c r="E100" s="46" t="s">
        <v>631</v>
      </c>
      <c r="F100" s="46" t="s">
        <v>607</v>
      </c>
      <c r="G100" s="46" t="s">
        <v>542</v>
      </c>
      <c r="H100" s="46" t="s">
        <v>626</v>
      </c>
      <c r="I100" s="54" t="s">
        <v>460</v>
      </c>
      <c r="J100" s="54" t="s">
        <v>47</v>
      </c>
      <c r="K100" s="54" t="s">
        <v>47</v>
      </c>
      <c r="L100" s="54">
        <v>569725.67999999993</v>
      </c>
      <c r="M100" s="54">
        <v>76594.84</v>
      </c>
      <c r="N100" s="54">
        <v>0</v>
      </c>
      <c r="O100" s="54">
        <v>8864.02</v>
      </c>
      <c r="P100" s="54">
        <v>0</v>
      </c>
      <c r="Q100" s="54">
        <v>484266.82</v>
      </c>
      <c r="R100" s="54">
        <v>0</v>
      </c>
      <c r="S100" s="55" t="s">
        <v>498</v>
      </c>
      <c r="T100" s="55" t="s">
        <v>483</v>
      </c>
      <c r="U100" s="55" t="s">
        <v>495</v>
      </c>
      <c r="V100" s="55">
        <v>2018</v>
      </c>
    </row>
    <row r="101" spans="1:22" s="5" customFormat="1" ht="76.5" hidden="1" customHeight="1" x14ac:dyDescent="0.25">
      <c r="A101" s="53"/>
      <c r="B101" s="54" t="s">
        <v>290</v>
      </c>
      <c r="C101" s="54" t="s">
        <v>640</v>
      </c>
      <c r="D101" s="46" t="s">
        <v>291</v>
      </c>
      <c r="E101" s="46" t="s">
        <v>510</v>
      </c>
      <c r="F101" s="46" t="s">
        <v>632</v>
      </c>
      <c r="G101" s="46" t="s">
        <v>544</v>
      </c>
      <c r="H101" s="46" t="s">
        <v>626</v>
      </c>
      <c r="I101" s="54" t="s">
        <v>460</v>
      </c>
      <c r="J101" s="54" t="s">
        <v>47</v>
      </c>
      <c r="K101" s="54" t="s">
        <v>47</v>
      </c>
      <c r="L101" s="54">
        <v>616789</v>
      </c>
      <c r="M101" s="54">
        <v>92519</v>
      </c>
      <c r="N101" s="54">
        <v>0</v>
      </c>
      <c r="O101" s="54">
        <v>0</v>
      </c>
      <c r="P101" s="54">
        <v>0</v>
      </c>
      <c r="Q101" s="54">
        <v>524270</v>
      </c>
      <c r="R101" s="54">
        <v>0</v>
      </c>
      <c r="S101" s="55" t="s">
        <v>486</v>
      </c>
      <c r="T101" s="55" t="s">
        <v>483</v>
      </c>
      <c r="U101" s="55" t="s">
        <v>495</v>
      </c>
      <c r="V101" s="55">
        <v>2018</v>
      </c>
    </row>
    <row r="102" spans="1:22" s="5" customFormat="1" ht="42" hidden="1" customHeight="1" x14ac:dyDescent="0.25">
      <c r="A102" s="53"/>
      <c r="B102" s="60" t="s">
        <v>295</v>
      </c>
      <c r="C102" s="60"/>
      <c r="D102" s="60" t="s">
        <v>296</v>
      </c>
      <c r="E102" s="60"/>
      <c r="F102" s="60"/>
      <c r="G102" s="60"/>
      <c r="H102" s="60"/>
      <c r="I102" s="60"/>
      <c r="J102" s="60"/>
      <c r="K102" s="60"/>
      <c r="L102" s="60"/>
      <c r="M102" s="60"/>
      <c r="N102" s="60"/>
      <c r="O102" s="60"/>
      <c r="P102" s="60"/>
      <c r="Q102" s="60"/>
      <c r="R102" s="60"/>
      <c r="S102" s="60"/>
      <c r="T102" s="60"/>
      <c r="U102" s="60"/>
      <c r="V102" s="60"/>
    </row>
    <row r="103" spans="1:22" s="87" customFormat="1" ht="63" hidden="1" customHeight="1" x14ac:dyDescent="0.25">
      <c r="A103" s="98"/>
      <c r="B103" s="54" t="s">
        <v>297</v>
      </c>
      <c r="C103" s="54" t="s">
        <v>647</v>
      </c>
      <c r="D103" s="89" t="s">
        <v>298</v>
      </c>
      <c r="E103" s="89" t="s">
        <v>541</v>
      </c>
      <c r="F103" s="89" t="s">
        <v>607</v>
      </c>
      <c r="G103" s="89" t="s">
        <v>542</v>
      </c>
      <c r="H103" s="89" t="s">
        <v>641</v>
      </c>
      <c r="I103" s="54" t="s">
        <v>460</v>
      </c>
      <c r="J103" s="54" t="s">
        <v>47</v>
      </c>
      <c r="K103" s="54" t="s">
        <v>47</v>
      </c>
      <c r="L103" s="54">
        <v>77618.78</v>
      </c>
      <c r="M103" s="54">
        <v>11642.82</v>
      </c>
      <c r="N103" s="54">
        <v>0</v>
      </c>
      <c r="O103" s="54">
        <v>0</v>
      </c>
      <c r="P103" s="54">
        <v>0</v>
      </c>
      <c r="Q103" s="54">
        <v>65975.960000000006</v>
      </c>
      <c r="R103" s="54">
        <v>0</v>
      </c>
      <c r="S103" s="55" t="s">
        <v>490</v>
      </c>
      <c r="T103" s="55" t="s">
        <v>488</v>
      </c>
      <c r="U103" s="55" t="s">
        <v>643</v>
      </c>
      <c r="V103" s="55">
        <v>2020</v>
      </c>
    </row>
    <row r="104" spans="1:22" s="87" customFormat="1" ht="91.5" hidden="1" customHeight="1" x14ac:dyDescent="0.25">
      <c r="A104" s="98"/>
      <c r="B104" s="54" t="s">
        <v>299</v>
      </c>
      <c r="C104" s="54" t="s">
        <v>648</v>
      </c>
      <c r="D104" s="89" t="s">
        <v>300</v>
      </c>
      <c r="E104" s="89" t="s">
        <v>471</v>
      </c>
      <c r="F104" s="89" t="s">
        <v>607</v>
      </c>
      <c r="G104" s="89" t="s">
        <v>472</v>
      </c>
      <c r="H104" s="89" t="s">
        <v>642</v>
      </c>
      <c r="I104" s="54" t="s">
        <v>460</v>
      </c>
      <c r="J104" s="54"/>
      <c r="K104" s="54"/>
      <c r="L104" s="54">
        <v>383205.9</v>
      </c>
      <c r="M104" s="54">
        <v>57480.9</v>
      </c>
      <c r="N104" s="54">
        <v>0</v>
      </c>
      <c r="O104" s="54">
        <v>0</v>
      </c>
      <c r="P104" s="54">
        <v>0</v>
      </c>
      <c r="Q104" s="54">
        <v>325725</v>
      </c>
      <c r="R104" s="54">
        <v>0</v>
      </c>
      <c r="S104" s="55" t="s">
        <v>602</v>
      </c>
      <c r="T104" s="55" t="s">
        <v>482</v>
      </c>
      <c r="U104" s="55" t="s">
        <v>499</v>
      </c>
      <c r="V104" s="55">
        <v>2019</v>
      </c>
    </row>
    <row r="105" spans="1:22" s="87" customFormat="1" ht="63.75" hidden="1" customHeight="1" x14ac:dyDescent="0.25">
      <c r="A105" s="98"/>
      <c r="B105" s="54" t="s">
        <v>301</v>
      </c>
      <c r="C105" s="54" t="s">
        <v>649</v>
      </c>
      <c r="D105" s="89" t="s">
        <v>302</v>
      </c>
      <c r="E105" s="89" t="s">
        <v>541</v>
      </c>
      <c r="F105" s="89" t="s">
        <v>607</v>
      </c>
      <c r="G105" s="89" t="s">
        <v>542</v>
      </c>
      <c r="H105" s="89" t="s">
        <v>641</v>
      </c>
      <c r="I105" s="54" t="s">
        <v>460</v>
      </c>
      <c r="J105" s="54" t="s">
        <v>47</v>
      </c>
      <c r="K105" s="54" t="s">
        <v>47</v>
      </c>
      <c r="L105" s="54">
        <v>644100</v>
      </c>
      <c r="M105" s="54">
        <v>96615</v>
      </c>
      <c r="N105" s="54">
        <v>0</v>
      </c>
      <c r="O105" s="54">
        <v>0</v>
      </c>
      <c r="P105" s="54">
        <v>0</v>
      </c>
      <c r="Q105" s="54">
        <v>547485</v>
      </c>
      <c r="R105" s="54">
        <v>0</v>
      </c>
      <c r="S105" s="55" t="s">
        <v>536</v>
      </c>
      <c r="T105" s="55" t="s">
        <v>496</v>
      </c>
      <c r="U105" s="55" t="s">
        <v>633</v>
      </c>
      <c r="V105" s="55">
        <v>2020</v>
      </c>
    </row>
    <row r="106" spans="1:22" s="87" customFormat="1" ht="75" hidden="1" customHeight="1" x14ac:dyDescent="0.25">
      <c r="A106" s="98"/>
      <c r="B106" s="54" t="s">
        <v>303</v>
      </c>
      <c r="C106" s="54" t="s">
        <v>650</v>
      </c>
      <c r="D106" s="89" t="s">
        <v>304</v>
      </c>
      <c r="E106" s="89" t="s">
        <v>510</v>
      </c>
      <c r="F106" s="89" t="s">
        <v>607</v>
      </c>
      <c r="G106" s="89" t="s">
        <v>544</v>
      </c>
      <c r="H106" s="89" t="s">
        <v>642</v>
      </c>
      <c r="I106" s="54" t="s">
        <v>460</v>
      </c>
      <c r="J106" s="54"/>
      <c r="K106" s="54"/>
      <c r="L106" s="54">
        <v>591365.71</v>
      </c>
      <c r="M106" s="54">
        <v>88704.87</v>
      </c>
      <c r="N106" s="54">
        <v>0</v>
      </c>
      <c r="O106" s="54">
        <v>0</v>
      </c>
      <c r="P106" s="54">
        <v>0</v>
      </c>
      <c r="Q106" s="54">
        <v>502660.84</v>
      </c>
      <c r="R106" s="54">
        <v>0</v>
      </c>
      <c r="S106" s="55" t="s">
        <v>513</v>
      </c>
      <c r="T106" s="55" t="s">
        <v>482</v>
      </c>
      <c r="U106" s="55" t="s">
        <v>633</v>
      </c>
      <c r="V106" s="55">
        <v>2018</v>
      </c>
    </row>
    <row r="107" spans="1:22" s="87" customFormat="1" ht="129.75" hidden="1" customHeight="1" x14ac:dyDescent="0.25">
      <c r="A107" s="98"/>
      <c r="B107" s="54" t="s">
        <v>305</v>
      </c>
      <c r="C107" s="54" t="s">
        <v>651</v>
      </c>
      <c r="D107" s="89" t="s">
        <v>306</v>
      </c>
      <c r="E107" s="89" t="s">
        <v>456</v>
      </c>
      <c r="F107" s="89" t="s">
        <v>607</v>
      </c>
      <c r="G107" s="89" t="s">
        <v>463</v>
      </c>
      <c r="H107" s="89" t="s">
        <v>641</v>
      </c>
      <c r="I107" s="54" t="s">
        <v>460</v>
      </c>
      <c r="J107" s="54" t="s">
        <v>47</v>
      </c>
      <c r="K107" s="54" t="s">
        <v>47</v>
      </c>
      <c r="L107" s="54">
        <v>238835.47</v>
      </c>
      <c r="M107" s="54">
        <v>35825.33</v>
      </c>
      <c r="N107" s="54">
        <v>0</v>
      </c>
      <c r="O107" s="63">
        <v>0</v>
      </c>
      <c r="P107" s="54">
        <v>0</v>
      </c>
      <c r="Q107" s="54">
        <v>203010.14</v>
      </c>
      <c r="R107" s="54">
        <v>0</v>
      </c>
      <c r="S107" s="55" t="s">
        <v>513</v>
      </c>
      <c r="T107" s="55" t="s">
        <v>536</v>
      </c>
      <c r="U107" s="55" t="s">
        <v>493</v>
      </c>
      <c r="V107" s="55">
        <v>2018</v>
      </c>
    </row>
    <row r="108" spans="1:22" s="87" customFormat="1" ht="79.5" hidden="1" customHeight="1" x14ac:dyDescent="0.25">
      <c r="A108" s="98"/>
      <c r="B108" s="54" t="s">
        <v>307</v>
      </c>
      <c r="C108" s="54" t="s">
        <v>652</v>
      </c>
      <c r="D108" s="89" t="s">
        <v>308</v>
      </c>
      <c r="E108" s="89" t="s">
        <v>456</v>
      </c>
      <c r="F108" s="89" t="s">
        <v>607</v>
      </c>
      <c r="G108" s="89" t="s">
        <v>463</v>
      </c>
      <c r="H108" s="89" t="s">
        <v>641</v>
      </c>
      <c r="I108" s="54" t="s">
        <v>460</v>
      </c>
      <c r="J108" s="54" t="s">
        <v>47</v>
      </c>
      <c r="K108" s="54" t="s">
        <v>47</v>
      </c>
      <c r="L108" s="54">
        <v>180230</v>
      </c>
      <c r="M108" s="54">
        <v>27035</v>
      </c>
      <c r="N108" s="54">
        <v>0</v>
      </c>
      <c r="O108" s="54">
        <v>0</v>
      </c>
      <c r="P108" s="54">
        <v>0</v>
      </c>
      <c r="Q108" s="54">
        <v>153195.03</v>
      </c>
      <c r="R108" s="54">
        <v>0</v>
      </c>
      <c r="S108" s="55" t="s">
        <v>479</v>
      </c>
      <c r="T108" s="55" t="s">
        <v>547</v>
      </c>
      <c r="U108" s="55" t="s">
        <v>488</v>
      </c>
      <c r="V108" s="55">
        <v>2020</v>
      </c>
    </row>
    <row r="109" spans="1:22" s="5" customFormat="1" ht="126" hidden="1" customHeight="1" x14ac:dyDescent="0.25">
      <c r="A109" s="53"/>
      <c r="B109" s="54" t="s">
        <v>309</v>
      </c>
      <c r="C109" s="54" t="s">
        <v>653</v>
      </c>
      <c r="D109" s="46" t="s">
        <v>310</v>
      </c>
      <c r="E109" s="46" t="s">
        <v>506</v>
      </c>
      <c r="F109" s="46" t="s">
        <v>607</v>
      </c>
      <c r="G109" s="46" t="s">
        <v>463</v>
      </c>
      <c r="H109" s="46" t="s">
        <v>641</v>
      </c>
      <c r="I109" s="54" t="s">
        <v>460</v>
      </c>
      <c r="J109" s="54" t="s">
        <v>47</v>
      </c>
      <c r="K109" s="54" t="s">
        <v>47</v>
      </c>
      <c r="L109" s="54">
        <v>470588.24</v>
      </c>
      <c r="M109" s="54">
        <v>70588.240000000005</v>
      </c>
      <c r="N109" s="54">
        <v>0</v>
      </c>
      <c r="O109" s="54">
        <v>0</v>
      </c>
      <c r="P109" s="54">
        <v>0</v>
      </c>
      <c r="Q109" s="54">
        <v>400000</v>
      </c>
      <c r="R109" s="54">
        <v>0</v>
      </c>
      <c r="S109" s="55" t="s">
        <v>547</v>
      </c>
      <c r="T109" s="55" t="s">
        <v>643</v>
      </c>
      <c r="U109" s="55" t="s">
        <v>485</v>
      </c>
      <c r="V109" s="55">
        <v>2020</v>
      </c>
    </row>
    <row r="110" spans="1:22" s="5" customFormat="1" ht="138.75" hidden="1" customHeight="1" x14ac:dyDescent="0.25">
      <c r="A110" s="53"/>
      <c r="B110" s="54" t="s">
        <v>311</v>
      </c>
      <c r="C110" s="54" t="s">
        <v>654</v>
      </c>
      <c r="D110" s="46" t="s">
        <v>312</v>
      </c>
      <c r="E110" s="46" t="s">
        <v>510</v>
      </c>
      <c r="F110" s="46" t="s">
        <v>607</v>
      </c>
      <c r="G110" s="46" t="s">
        <v>463</v>
      </c>
      <c r="H110" s="46" t="s">
        <v>641</v>
      </c>
      <c r="I110" s="54" t="s">
        <v>460</v>
      </c>
      <c r="J110" s="54" t="s">
        <v>47</v>
      </c>
      <c r="K110" s="54" t="s">
        <v>47</v>
      </c>
      <c r="L110" s="54">
        <v>62582.400000000001</v>
      </c>
      <c r="M110" s="54">
        <v>9387.36</v>
      </c>
      <c r="N110" s="54">
        <v>0</v>
      </c>
      <c r="O110" s="54">
        <v>0</v>
      </c>
      <c r="P110" s="54">
        <v>0</v>
      </c>
      <c r="Q110" s="54">
        <v>53195.040000000001</v>
      </c>
      <c r="R110" s="54">
        <v>0</v>
      </c>
      <c r="S110" s="55" t="s">
        <v>547</v>
      </c>
      <c r="T110" s="55" t="s">
        <v>644</v>
      </c>
      <c r="U110" s="55" t="s">
        <v>485</v>
      </c>
      <c r="V110" s="55">
        <v>2020</v>
      </c>
    </row>
    <row r="111" spans="1:22" s="5" customFormat="1" ht="65.25" hidden="1" customHeight="1" x14ac:dyDescent="0.25">
      <c r="A111" s="53"/>
      <c r="B111" s="54" t="s">
        <v>313</v>
      </c>
      <c r="C111" s="54" t="s">
        <v>655</v>
      </c>
      <c r="D111" s="46" t="s">
        <v>314</v>
      </c>
      <c r="E111" s="46" t="s">
        <v>471</v>
      </c>
      <c r="F111" s="46" t="s">
        <v>607</v>
      </c>
      <c r="G111" s="46" t="s">
        <v>472</v>
      </c>
      <c r="H111" s="46" t="s">
        <v>642</v>
      </c>
      <c r="I111" s="54" t="s">
        <v>460</v>
      </c>
      <c r="J111" s="54" t="s">
        <v>47</v>
      </c>
      <c r="K111" s="54" t="s">
        <v>47</v>
      </c>
      <c r="L111" s="54">
        <v>294160.27</v>
      </c>
      <c r="M111" s="54">
        <v>80965.240000000005</v>
      </c>
      <c r="N111" s="54">
        <v>0</v>
      </c>
      <c r="O111" s="54">
        <v>0</v>
      </c>
      <c r="P111" s="54">
        <v>0</v>
      </c>
      <c r="Q111" s="54">
        <v>213195.03</v>
      </c>
      <c r="R111" s="54">
        <v>0</v>
      </c>
      <c r="S111" s="55" t="s">
        <v>494</v>
      </c>
      <c r="T111" s="55" t="s">
        <v>487</v>
      </c>
      <c r="U111" s="55" t="s">
        <v>488</v>
      </c>
      <c r="V111" s="55">
        <v>2021</v>
      </c>
    </row>
    <row r="112" spans="1:22" s="5" customFormat="1" ht="94.5" hidden="1" customHeight="1" x14ac:dyDescent="0.25">
      <c r="A112" s="53"/>
      <c r="B112" s="54" t="s">
        <v>315</v>
      </c>
      <c r="C112" s="54" t="s">
        <v>656</v>
      </c>
      <c r="D112" s="46" t="s">
        <v>316</v>
      </c>
      <c r="E112" s="46" t="s">
        <v>503</v>
      </c>
      <c r="F112" s="46" t="s">
        <v>607</v>
      </c>
      <c r="G112" s="46" t="s">
        <v>472</v>
      </c>
      <c r="H112" s="46" t="s">
        <v>642</v>
      </c>
      <c r="I112" s="54" t="s">
        <v>460</v>
      </c>
      <c r="J112" s="54" t="s">
        <v>47</v>
      </c>
      <c r="K112" s="54" t="s">
        <v>47</v>
      </c>
      <c r="L112" s="54">
        <v>588235.30000000005</v>
      </c>
      <c r="M112" s="54">
        <v>88235.3</v>
      </c>
      <c r="N112" s="54">
        <v>0</v>
      </c>
      <c r="O112" s="54">
        <v>0</v>
      </c>
      <c r="P112" s="54">
        <v>0</v>
      </c>
      <c r="Q112" s="54">
        <v>500000</v>
      </c>
      <c r="R112" s="54">
        <v>0</v>
      </c>
      <c r="S112" s="55" t="s">
        <v>645</v>
      </c>
      <c r="T112" s="55" t="s">
        <v>484</v>
      </c>
      <c r="U112" s="55" t="s">
        <v>646</v>
      </c>
      <c r="V112" s="55">
        <v>2021</v>
      </c>
    </row>
    <row r="113" spans="1:22" s="5" customFormat="1" ht="76.5" hidden="1" customHeight="1" x14ac:dyDescent="0.25">
      <c r="A113" s="53"/>
      <c r="B113" s="77" t="s">
        <v>317</v>
      </c>
      <c r="C113" s="78"/>
      <c r="D113" s="79" t="s">
        <v>318</v>
      </c>
      <c r="E113" s="78"/>
      <c r="F113" s="77"/>
      <c r="G113" s="78"/>
      <c r="H113" s="79"/>
      <c r="I113" s="78"/>
      <c r="J113" s="77"/>
      <c r="K113" s="78"/>
      <c r="L113" s="79"/>
      <c r="M113" s="78"/>
      <c r="N113" s="77"/>
      <c r="O113" s="78"/>
      <c r="P113" s="79"/>
      <c r="Q113" s="78"/>
      <c r="R113" s="77"/>
      <c r="S113" s="78"/>
      <c r="T113" s="79"/>
      <c r="U113" s="78"/>
      <c r="V113" s="77"/>
    </row>
    <row r="114" spans="1:22" s="5" customFormat="1" ht="81.75" hidden="1" customHeight="1" x14ac:dyDescent="0.25">
      <c r="A114" s="53"/>
      <c r="B114" s="37" t="s">
        <v>319</v>
      </c>
      <c r="C114" s="37"/>
      <c r="D114" s="37" t="s">
        <v>320</v>
      </c>
      <c r="E114" s="37"/>
      <c r="F114" s="37"/>
      <c r="G114" s="37"/>
      <c r="H114" s="37"/>
      <c r="I114" s="37"/>
      <c r="J114" s="37"/>
      <c r="K114" s="37"/>
      <c r="L114" s="37"/>
      <c r="M114" s="37"/>
      <c r="N114" s="37"/>
      <c r="O114" s="37"/>
      <c r="P114" s="37"/>
      <c r="Q114" s="37"/>
      <c r="R114" s="37"/>
      <c r="S114" s="37"/>
      <c r="T114" s="37"/>
      <c r="U114" s="37"/>
      <c r="V114" s="37"/>
    </row>
    <row r="115" spans="1:22" s="5" customFormat="1" ht="177" hidden="1" customHeight="1" x14ac:dyDescent="0.25">
      <c r="A115" s="53"/>
      <c r="B115" s="60" t="s">
        <v>321</v>
      </c>
      <c r="C115" s="60"/>
      <c r="D115" s="60" t="s">
        <v>936</v>
      </c>
      <c r="E115" s="60"/>
      <c r="F115" s="60"/>
      <c r="G115" s="60"/>
      <c r="H115" s="60"/>
      <c r="I115" s="60"/>
      <c r="J115" s="60"/>
      <c r="K115" s="60"/>
      <c r="L115" s="60"/>
      <c r="M115" s="60"/>
      <c r="N115" s="60"/>
      <c r="O115" s="60"/>
      <c r="P115" s="60"/>
      <c r="Q115" s="60"/>
      <c r="R115" s="60"/>
      <c r="S115" s="60"/>
      <c r="T115" s="60"/>
      <c r="U115" s="60"/>
      <c r="V115" s="60"/>
    </row>
    <row r="116" spans="1:22" s="5" customFormat="1" ht="127.5" hidden="1" customHeight="1" x14ac:dyDescent="0.25">
      <c r="A116" s="53"/>
      <c r="B116" s="54" t="s">
        <v>323</v>
      </c>
      <c r="C116" s="54" t="s">
        <v>938</v>
      </c>
      <c r="D116" s="46" t="s">
        <v>657</v>
      </c>
      <c r="E116" s="46" t="s">
        <v>506</v>
      </c>
      <c r="F116" s="46" t="s">
        <v>599</v>
      </c>
      <c r="G116" s="46" t="s">
        <v>507</v>
      </c>
      <c r="H116" s="46" t="s">
        <v>937</v>
      </c>
      <c r="I116" s="54" t="s">
        <v>509</v>
      </c>
      <c r="J116" s="54" t="s">
        <v>461</v>
      </c>
      <c r="K116" s="54" t="s">
        <v>47</v>
      </c>
      <c r="L116" s="54">
        <v>2044376</v>
      </c>
      <c r="M116" s="54">
        <v>306656</v>
      </c>
      <c r="N116" s="54">
        <v>0</v>
      </c>
      <c r="O116" s="54">
        <v>0</v>
      </c>
      <c r="P116" s="54">
        <v>0</v>
      </c>
      <c r="Q116" s="54">
        <v>1737720</v>
      </c>
      <c r="R116" s="54">
        <v>0</v>
      </c>
      <c r="S116" s="55" t="s">
        <v>478</v>
      </c>
      <c r="T116" s="55" t="s">
        <v>479</v>
      </c>
      <c r="U116" s="55" t="s">
        <v>645</v>
      </c>
      <c r="V116" s="55">
        <v>2020</v>
      </c>
    </row>
    <row r="117" spans="1:22" s="5" customFormat="1" ht="56.25" hidden="1" customHeight="1" x14ac:dyDescent="0.25">
      <c r="A117" s="53"/>
      <c r="B117" s="37" t="s">
        <v>325</v>
      </c>
      <c r="C117" s="37"/>
      <c r="D117" s="37" t="s">
        <v>326</v>
      </c>
      <c r="E117" s="37"/>
      <c r="F117" s="37"/>
      <c r="G117" s="37"/>
      <c r="H117" s="37"/>
      <c r="I117" s="37"/>
      <c r="J117" s="37"/>
      <c r="K117" s="37"/>
      <c r="L117" s="37"/>
      <c r="M117" s="37"/>
      <c r="N117" s="37"/>
      <c r="O117" s="37"/>
      <c r="P117" s="37"/>
      <c r="Q117" s="37"/>
      <c r="R117" s="37"/>
      <c r="S117" s="37"/>
      <c r="T117" s="37"/>
      <c r="U117" s="37"/>
      <c r="V117" s="37"/>
    </row>
    <row r="118" spans="1:22" s="5" customFormat="1" ht="55.5" hidden="1" customHeight="1" x14ac:dyDescent="0.25">
      <c r="A118" s="53"/>
      <c r="B118" s="60" t="s">
        <v>327</v>
      </c>
      <c r="C118" s="60"/>
      <c r="D118" s="60" t="s">
        <v>328</v>
      </c>
      <c r="E118" s="60"/>
      <c r="F118" s="60"/>
      <c r="G118" s="60"/>
      <c r="H118" s="60"/>
      <c r="I118" s="60"/>
      <c r="J118" s="60"/>
      <c r="K118" s="60"/>
      <c r="L118" s="60"/>
      <c r="M118" s="60"/>
      <c r="N118" s="60"/>
      <c r="O118" s="60"/>
      <c r="P118" s="60"/>
      <c r="Q118" s="60"/>
      <c r="R118" s="60"/>
      <c r="S118" s="60"/>
      <c r="T118" s="60"/>
      <c r="U118" s="60"/>
      <c r="V118" s="60"/>
    </row>
    <row r="119" spans="1:22" s="5" customFormat="1" ht="55.5" hidden="1" customHeight="1" x14ac:dyDescent="0.25">
      <c r="A119" s="53"/>
      <c r="B119" s="80" t="s">
        <v>953</v>
      </c>
      <c r="C119" s="80"/>
      <c r="D119" s="81" t="s">
        <v>952</v>
      </c>
      <c r="E119" s="80"/>
      <c r="F119" s="80"/>
      <c r="G119" s="80"/>
      <c r="H119" s="80"/>
      <c r="I119" s="80"/>
      <c r="J119" s="80"/>
      <c r="K119" s="80"/>
      <c r="L119" s="80"/>
      <c r="M119" s="80"/>
      <c r="N119" s="80"/>
      <c r="O119" s="80"/>
      <c r="P119" s="80"/>
      <c r="Q119" s="80"/>
      <c r="R119" s="80"/>
      <c r="S119" s="80"/>
      <c r="T119" s="80"/>
      <c r="U119" s="80"/>
      <c r="V119" s="80"/>
    </row>
    <row r="120" spans="1:22" s="5" customFormat="1" ht="69" hidden="1" customHeight="1" x14ac:dyDescent="0.25">
      <c r="A120" s="53"/>
      <c r="B120" s="77" t="s">
        <v>658</v>
      </c>
      <c r="C120" s="78"/>
      <c r="D120" s="79" t="s">
        <v>330</v>
      </c>
      <c r="E120" s="78"/>
      <c r="F120" s="77"/>
      <c r="G120" s="77"/>
      <c r="H120" s="78"/>
      <c r="I120" s="79"/>
      <c r="J120" s="78"/>
      <c r="K120" s="77"/>
      <c r="L120" s="77"/>
      <c r="M120" s="78"/>
      <c r="N120" s="79"/>
      <c r="O120" s="78"/>
      <c r="P120" s="77"/>
      <c r="Q120" s="77"/>
      <c r="R120" s="78"/>
      <c r="S120" s="79"/>
      <c r="T120" s="78"/>
      <c r="U120" s="77"/>
      <c r="V120" s="77"/>
    </row>
    <row r="121" spans="1:22" s="5" customFormat="1" ht="81.75" hidden="1" customHeight="1" x14ac:dyDescent="0.25">
      <c r="A121" s="53"/>
      <c r="B121" s="37" t="s">
        <v>331</v>
      </c>
      <c r="C121" s="37"/>
      <c r="D121" s="37" t="s">
        <v>332</v>
      </c>
      <c r="E121" s="37"/>
      <c r="F121" s="37"/>
      <c r="G121" s="37"/>
      <c r="H121" s="37"/>
      <c r="I121" s="37"/>
      <c r="J121" s="37"/>
      <c r="K121" s="37"/>
      <c r="L121" s="37"/>
      <c r="M121" s="37"/>
      <c r="N121" s="37"/>
      <c r="O121" s="37"/>
      <c r="P121" s="37"/>
      <c r="Q121" s="37"/>
      <c r="R121" s="37"/>
      <c r="S121" s="37"/>
      <c r="T121" s="37"/>
      <c r="U121" s="37"/>
      <c r="V121" s="37"/>
    </row>
    <row r="122" spans="1:22" s="5" customFormat="1" ht="82.5" hidden="1" customHeight="1" x14ac:dyDescent="0.25">
      <c r="A122" s="53"/>
      <c r="B122" s="60" t="s">
        <v>659</v>
      </c>
      <c r="C122" s="60"/>
      <c r="D122" s="60" t="s">
        <v>334</v>
      </c>
      <c r="E122" s="60"/>
      <c r="F122" s="60"/>
      <c r="G122" s="60"/>
      <c r="H122" s="60"/>
      <c r="I122" s="60"/>
      <c r="J122" s="60"/>
      <c r="K122" s="60"/>
      <c r="L122" s="60"/>
      <c r="M122" s="60"/>
      <c r="N122" s="60"/>
      <c r="O122" s="60"/>
      <c r="P122" s="60"/>
      <c r="Q122" s="60"/>
      <c r="R122" s="60"/>
      <c r="S122" s="60"/>
      <c r="T122" s="60"/>
      <c r="U122" s="60"/>
      <c r="V122" s="60"/>
    </row>
    <row r="123" spans="1:22" s="5" customFormat="1" ht="66" hidden="1" customHeight="1" x14ac:dyDescent="0.25">
      <c r="A123" s="53"/>
      <c r="B123" s="54" t="s">
        <v>335</v>
      </c>
      <c r="C123" s="54" t="s">
        <v>663</v>
      </c>
      <c r="D123" s="46" t="s">
        <v>336</v>
      </c>
      <c r="E123" s="46" t="s">
        <v>456</v>
      </c>
      <c r="F123" s="46" t="s">
        <v>660</v>
      </c>
      <c r="G123" s="46" t="s">
        <v>463</v>
      </c>
      <c r="H123" s="46" t="s">
        <v>661</v>
      </c>
      <c r="I123" s="54" t="s">
        <v>460</v>
      </c>
      <c r="J123" s="54" t="s">
        <v>461</v>
      </c>
      <c r="K123" s="54" t="s">
        <v>47</v>
      </c>
      <c r="L123" s="54">
        <v>249008</v>
      </c>
      <c r="M123" s="54">
        <v>59493</v>
      </c>
      <c r="N123" s="54">
        <v>15366</v>
      </c>
      <c r="O123" s="54">
        <v>0</v>
      </c>
      <c r="P123" s="54">
        <v>0</v>
      </c>
      <c r="Q123" s="54">
        <v>174149</v>
      </c>
      <c r="R123" s="54">
        <v>0</v>
      </c>
      <c r="S123" s="55" t="s">
        <v>549</v>
      </c>
      <c r="T123" s="55" t="s">
        <v>500</v>
      </c>
      <c r="U123" s="55" t="s">
        <v>478</v>
      </c>
      <c r="V123" s="55">
        <v>2019</v>
      </c>
    </row>
    <row r="124" spans="1:22" s="5" customFormat="1" ht="67.5" hidden="1" customHeight="1" x14ac:dyDescent="0.25">
      <c r="A124" s="53"/>
      <c r="B124" s="54" t="s">
        <v>337</v>
      </c>
      <c r="C124" s="54" t="s">
        <v>664</v>
      </c>
      <c r="D124" s="46" t="s">
        <v>338</v>
      </c>
      <c r="E124" s="46" t="s">
        <v>510</v>
      </c>
      <c r="F124" s="46" t="s">
        <v>660</v>
      </c>
      <c r="G124" s="46" t="s">
        <v>544</v>
      </c>
      <c r="H124" s="46" t="s">
        <v>662</v>
      </c>
      <c r="I124" s="54" t="s">
        <v>460</v>
      </c>
      <c r="J124" s="54" t="s">
        <v>461</v>
      </c>
      <c r="K124" s="54"/>
      <c r="L124" s="54">
        <v>614629.1</v>
      </c>
      <c r="M124" s="54">
        <v>194157.1</v>
      </c>
      <c r="N124" s="54">
        <v>34092</v>
      </c>
      <c r="O124" s="54">
        <v>0</v>
      </c>
      <c r="P124" s="54">
        <v>0</v>
      </c>
      <c r="Q124" s="54">
        <v>386380</v>
      </c>
      <c r="R124" s="54">
        <v>0</v>
      </c>
      <c r="S124" s="55" t="s">
        <v>562</v>
      </c>
      <c r="T124" s="55" t="s">
        <v>500</v>
      </c>
      <c r="U124" s="55" t="s">
        <v>492</v>
      </c>
      <c r="V124" s="55">
        <v>2020</v>
      </c>
    </row>
    <row r="125" spans="1:22" s="5" customFormat="1" ht="52.5" hidden="1" customHeight="1" x14ac:dyDescent="0.25">
      <c r="A125" s="53"/>
      <c r="B125" s="60" t="s">
        <v>339</v>
      </c>
      <c r="C125" s="60"/>
      <c r="D125" s="60" t="s">
        <v>340</v>
      </c>
      <c r="E125" s="60"/>
      <c r="F125" s="60"/>
      <c r="G125" s="60"/>
      <c r="H125" s="60"/>
      <c r="I125" s="60"/>
      <c r="J125" s="60"/>
      <c r="K125" s="60"/>
      <c r="L125" s="60"/>
      <c r="M125" s="60"/>
      <c r="N125" s="60"/>
      <c r="O125" s="60"/>
      <c r="P125" s="60"/>
      <c r="Q125" s="60"/>
      <c r="R125" s="60"/>
      <c r="S125" s="60"/>
      <c r="T125" s="60"/>
      <c r="U125" s="60"/>
      <c r="V125" s="60"/>
    </row>
    <row r="126" spans="1:22" s="5" customFormat="1" ht="54.75" hidden="1" customHeight="1" x14ac:dyDescent="0.25">
      <c r="A126" s="53"/>
      <c r="B126" s="54" t="s">
        <v>341</v>
      </c>
      <c r="C126" s="54" t="s">
        <v>668</v>
      </c>
      <c r="D126" s="46" t="s">
        <v>665</v>
      </c>
      <c r="E126" s="46" t="s">
        <v>456</v>
      </c>
      <c r="F126" s="46" t="s">
        <v>660</v>
      </c>
      <c r="G126" s="46" t="s">
        <v>463</v>
      </c>
      <c r="H126" s="46" t="s">
        <v>666</v>
      </c>
      <c r="I126" s="54" t="s">
        <v>460</v>
      </c>
      <c r="J126" s="54" t="s">
        <v>461</v>
      </c>
      <c r="K126" s="54" t="s">
        <v>47</v>
      </c>
      <c r="L126" s="54">
        <v>324706</v>
      </c>
      <c r="M126" s="54">
        <v>24353</v>
      </c>
      <c r="N126" s="54">
        <v>24353</v>
      </c>
      <c r="O126" s="54">
        <v>0</v>
      </c>
      <c r="P126" s="54">
        <v>0</v>
      </c>
      <c r="Q126" s="54">
        <v>276000</v>
      </c>
      <c r="R126" s="54">
        <v>0</v>
      </c>
      <c r="S126" s="55" t="s">
        <v>633</v>
      </c>
      <c r="T126" s="55" t="s">
        <v>549</v>
      </c>
      <c r="U126" s="55" t="s">
        <v>500</v>
      </c>
      <c r="V126" s="55">
        <v>2019</v>
      </c>
    </row>
    <row r="127" spans="1:22" s="5" customFormat="1" ht="76.5" hidden="1" x14ac:dyDescent="0.25">
      <c r="A127" s="53"/>
      <c r="B127" s="54" t="s">
        <v>343</v>
      </c>
      <c r="C127" s="54" t="s">
        <v>669</v>
      </c>
      <c r="D127" s="46" t="s">
        <v>344</v>
      </c>
      <c r="E127" s="46" t="s">
        <v>471</v>
      </c>
      <c r="F127" s="46" t="s">
        <v>660</v>
      </c>
      <c r="G127" s="46" t="s">
        <v>667</v>
      </c>
      <c r="H127" s="46" t="s">
        <v>666</v>
      </c>
      <c r="I127" s="54" t="s">
        <v>460</v>
      </c>
      <c r="J127" s="54"/>
      <c r="K127" s="54"/>
      <c r="L127" s="54">
        <v>363001</v>
      </c>
      <c r="M127" s="54">
        <v>55983</v>
      </c>
      <c r="N127" s="54">
        <v>24893</v>
      </c>
      <c r="O127" s="54">
        <v>0</v>
      </c>
      <c r="P127" s="54">
        <v>0</v>
      </c>
      <c r="Q127" s="54">
        <v>282125</v>
      </c>
      <c r="R127" s="54">
        <v>0</v>
      </c>
      <c r="S127" s="55" t="s">
        <v>633</v>
      </c>
      <c r="T127" s="55" t="s">
        <v>549</v>
      </c>
      <c r="U127" s="55" t="s">
        <v>500</v>
      </c>
      <c r="V127" s="55">
        <v>2020</v>
      </c>
    </row>
    <row r="128" spans="1:22" s="5" customFormat="1" ht="67.5" hidden="1" customHeight="1" x14ac:dyDescent="0.25">
      <c r="A128" s="53"/>
      <c r="B128" s="54" t="s">
        <v>345</v>
      </c>
      <c r="C128" s="54" t="s">
        <v>670</v>
      </c>
      <c r="D128" s="46" t="s">
        <v>346</v>
      </c>
      <c r="E128" s="46" t="s">
        <v>503</v>
      </c>
      <c r="F128" s="46" t="s">
        <v>660</v>
      </c>
      <c r="G128" s="46" t="s">
        <v>534</v>
      </c>
      <c r="H128" s="46" t="s">
        <v>666</v>
      </c>
      <c r="I128" s="54" t="s">
        <v>460</v>
      </c>
      <c r="J128" s="54"/>
      <c r="K128" s="54"/>
      <c r="L128" s="54">
        <v>363001</v>
      </c>
      <c r="M128" s="54">
        <v>66561.350000000006</v>
      </c>
      <c r="N128" s="54">
        <v>24035.65</v>
      </c>
      <c r="O128" s="54">
        <v>0</v>
      </c>
      <c r="P128" s="54">
        <v>0</v>
      </c>
      <c r="Q128" s="54">
        <v>272404</v>
      </c>
      <c r="R128" s="54">
        <v>0</v>
      </c>
      <c r="S128" s="55" t="s">
        <v>495</v>
      </c>
      <c r="T128" s="55" t="s">
        <v>549</v>
      </c>
      <c r="U128" s="55" t="s">
        <v>500</v>
      </c>
      <c r="V128" s="55">
        <v>2020</v>
      </c>
    </row>
    <row r="129" spans="1:22" s="5" customFormat="1" ht="63.75" hidden="1" customHeight="1" x14ac:dyDescent="0.25">
      <c r="A129" s="53"/>
      <c r="B129" s="37" t="s">
        <v>347</v>
      </c>
      <c r="C129" s="37"/>
      <c r="D129" s="37" t="s">
        <v>348</v>
      </c>
      <c r="E129" s="37"/>
      <c r="F129" s="37"/>
      <c r="G129" s="37" t="s">
        <v>671</v>
      </c>
      <c r="H129" s="37"/>
      <c r="I129" s="37"/>
      <c r="J129" s="37"/>
      <c r="K129" s="37"/>
      <c r="L129" s="37"/>
      <c r="M129" s="37"/>
      <c r="N129" s="37"/>
      <c r="O129" s="37"/>
      <c r="P129" s="37"/>
      <c r="Q129" s="37"/>
      <c r="R129" s="37"/>
      <c r="S129" s="37"/>
      <c r="T129" s="37"/>
      <c r="U129" s="37"/>
      <c r="V129" s="37"/>
    </row>
    <row r="130" spans="1:22" s="5" customFormat="1" ht="67.5" hidden="1" customHeight="1" x14ac:dyDescent="0.25">
      <c r="A130" s="53"/>
      <c r="B130" s="60" t="s">
        <v>349</v>
      </c>
      <c r="C130" s="60"/>
      <c r="D130" s="60" t="s">
        <v>350</v>
      </c>
      <c r="E130" s="60"/>
      <c r="F130" s="60"/>
      <c r="G130" s="60"/>
      <c r="H130" s="60"/>
      <c r="I130" s="60"/>
      <c r="J130" s="60"/>
      <c r="K130" s="60"/>
      <c r="L130" s="60"/>
      <c r="M130" s="60"/>
      <c r="N130" s="60"/>
      <c r="O130" s="60"/>
      <c r="P130" s="60"/>
      <c r="Q130" s="60"/>
      <c r="R130" s="60"/>
      <c r="S130" s="60"/>
      <c r="T130" s="60"/>
      <c r="U130" s="60"/>
      <c r="V130" s="60"/>
    </row>
    <row r="131" spans="1:22" s="5" customFormat="1" ht="141" hidden="1" customHeight="1" x14ac:dyDescent="0.25">
      <c r="A131" s="53"/>
      <c r="B131" s="54" t="s">
        <v>351</v>
      </c>
      <c r="C131" s="54" t="s">
        <v>675</v>
      </c>
      <c r="D131" s="46" t="s">
        <v>672</v>
      </c>
      <c r="E131" s="46" t="s">
        <v>456</v>
      </c>
      <c r="F131" s="46" t="s">
        <v>660</v>
      </c>
      <c r="G131" s="46" t="s">
        <v>458</v>
      </c>
      <c r="H131" s="46" t="s">
        <v>673</v>
      </c>
      <c r="I131" s="54" t="s">
        <v>460</v>
      </c>
      <c r="J131" s="54" t="s">
        <v>461</v>
      </c>
      <c r="K131" s="54" t="s">
        <v>47</v>
      </c>
      <c r="L131" s="54">
        <v>320627</v>
      </c>
      <c r="M131" s="54">
        <v>48094</v>
      </c>
      <c r="N131" s="54">
        <v>0</v>
      </c>
      <c r="O131" s="54">
        <v>0</v>
      </c>
      <c r="P131" s="54">
        <v>0</v>
      </c>
      <c r="Q131" s="54">
        <v>272533</v>
      </c>
      <c r="R131" s="54">
        <v>0</v>
      </c>
      <c r="S131" s="55" t="s">
        <v>499</v>
      </c>
      <c r="T131" s="55" t="s">
        <v>549</v>
      </c>
      <c r="U131" s="55" t="s">
        <v>500</v>
      </c>
      <c r="V131" s="55">
        <v>2019</v>
      </c>
    </row>
    <row r="132" spans="1:22" s="5" customFormat="1" ht="69" hidden="1" customHeight="1" x14ac:dyDescent="0.25">
      <c r="A132" s="53"/>
      <c r="B132" s="54" t="s">
        <v>353</v>
      </c>
      <c r="C132" s="54" t="s">
        <v>676</v>
      </c>
      <c r="D132" s="46" t="s">
        <v>354</v>
      </c>
      <c r="E132" s="46" t="s">
        <v>474</v>
      </c>
      <c r="F132" s="46" t="s">
        <v>674</v>
      </c>
      <c r="G132" s="46" t="s">
        <v>475</v>
      </c>
      <c r="H132" s="46" t="s">
        <v>673</v>
      </c>
      <c r="I132" s="54" t="s">
        <v>468</v>
      </c>
      <c r="J132" s="54" t="s">
        <v>469</v>
      </c>
      <c r="K132" s="54" t="s">
        <v>470</v>
      </c>
      <c r="L132" s="54">
        <v>1331974</v>
      </c>
      <c r="M132" s="54">
        <v>199796</v>
      </c>
      <c r="N132" s="54">
        <v>0</v>
      </c>
      <c r="O132" s="54">
        <v>0</v>
      </c>
      <c r="P132" s="54">
        <v>0</v>
      </c>
      <c r="Q132" s="54">
        <v>1132178</v>
      </c>
      <c r="R132" s="54">
        <v>0</v>
      </c>
      <c r="S132" s="55" t="s">
        <v>499</v>
      </c>
      <c r="T132" s="55" t="s">
        <v>549</v>
      </c>
      <c r="U132" s="55" t="s">
        <v>500</v>
      </c>
      <c r="V132" s="55">
        <v>2020</v>
      </c>
    </row>
    <row r="133" spans="1:22" s="5" customFormat="1" ht="56.25" hidden="1" customHeight="1" x14ac:dyDescent="0.25">
      <c r="A133" s="53"/>
      <c r="B133" s="77" t="s">
        <v>355</v>
      </c>
      <c r="C133" s="78"/>
      <c r="D133" s="79" t="s">
        <v>356</v>
      </c>
      <c r="E133" s="78"/>
      <c r="F133" s="77"/>
      <c r="G133" s="77"/>
      <c r="H133" s="78"/>
      <c r="I133" s="79"/>
      <c r="J133" s="78"/>
      <c r="K133" s="77"/>
      <c r="L133" s="77"/>
      <c r="M133" s="78"/>
      <c r="N133" s="79"/>
      <c r="O133" s="78"/>
      <c r="P133" s="77"/>
      <c r="Q133" s="77"/>
      <c r="R133" s="78"/>
      <c r="S133" s="79"/>
      <c r="T133" s="78"/>
      <c r="U133" s="77"/>
      <c r="V133" s="77"/>
    </row>
    <row r="134" spans="1:22" s="5" customFormat="1" ht="78.75" hidden="1" customHeight="1" x14ac:dyDescent="0.25">
      <c r="A134" s="53"/>
      <c r="B134" s="37" t="s">
        <v>357</v>
      </c>
      <c r="C134" s="37"/>
      <c r="D134" s="37" t="s">
        <v>358</v>
      </c>
      <c r="E134" s="37"/>
      <c r="F134" s="37"/>
      <c r="G134" s="37"/>
      <c r="H134" s="37"/>
      <c r="I134" s="37"/>
      <c r="J134" s="37"/>
      <c r="K134" s="37"/>
      <c r="L134" s="37"/>
      <c r="M134" s="37"/>
      <c r="N134" s="37"/>
      <c r="O134" s="37"/>
      <c r="P134" s="37"/>
      <c r="Q134" s="37"/>
      <c r="R134" s="37"/>
      <c r="S134" s="37"/>
      <c r="T134" s="37"/>
      <c r="U134" s="37"/>
      <c r="V134" s="37"/>
    </row>
    <row r="135" spans="1:22" s="5" customFormat="1" ht="89.25" hidden="1" customHeight="1" x14ac:dyDescent="0.25">
      <c r="A135" s="53"/>
      <c r="B135" s="60" t="s">
        <v>359</v>
      </c>
      <c r="C135" s="60"/>
      <c r="D135" s="60" t="s">
        <v>360</v>
      </c>
      <c r="E135" s="60"/>
      <c r="F135" s="60"/>
      <c r="G135" s="60"/>
      <c r="H135" s="60"/>
      <c r="I135" s="60"/>
      <c r="J135" s="60"/>
      <c r="K135" s="60"/>
      <c r="L135" s="60"/>
      <c r="M135" s="60"/>
      <c r="N135" s="60"/>
      <c r="O135" s="60"/>
      <c r="P135" s="60"/>
      <c r="Q135" s="60"/>
      <c r="R135" s="60"/>
      <c r="S135" s="60"/>
      <c r="T135" s="60"/>
      <c r="U135" s="60"/>
      <c r="V135" s="60"/>
    </row>
    <row r="136" spans="1:22" s="5" customFormat="1" ht="148.5" hidden="1" customHeight="1" x14ac:dyDescent="0.25">
      <c r="A136" s="53"/>
      <c r="B136" s="54" t="s">
        <v>973</v>
      </c>
      <c r="C136" s="54" t="s">
        <v>979</v>
      </c>
      <c r="D136" s="54" t="s">
        <v>985</v>
      </c>
      <c r="E136" s="54" t="s">
        <v>986</v>
      </c>
      <c r="F136" s="54" t="s">
        <v>678</v>
      </c>
      <c r="G136" s="54" t="s">
        <v>458</v>
      </c>
      <c r="H136" s="54" t="s">
        <v>902</v>
      </c>
      <c r="I136" s="54" t="s">
        <v>460</v>
      </c>
      <c r="J136" s="54" t="s">
        <v>47</v>
      </c>
      <c r="K136" s="54" t="s">
        <v>47</v>
      </c>
      <c r="L136" s="54">
        <v>246940.54</v>
      </c>
      <c r="M136" s="54">
        <v>18520.55</v>
      </c>
      <c r="N136" s="54">
        <v>18520.55</v>
      </c>
      <c r="O136" s="54">
        <v>0</v>
      </c>
      <c r="P136" s="54">
        <v>0</v>
      </c>
      <c r="Q136" s="54">
        <v>209899.44</v>
      </c>
      <c r="R136" s="54">
        <v>0</v>
      </c>
      <c r="S136" s="55" t="s">
        <v>494</v>
      </c>
      <c r="T136" s="55" t="s">
        <v>645</v>
      </c>
      <c r="U136" s="55" t="s">
        <v>644</v>
      </c>
      <c r="V136" s="55">
        <v>2020</v>
      </c>
    </row>
    <row r="137" spans="1:22" s="5" customFormat="1" ht="89.25" hidden="1" customHeight="1" x14ac:dyDescent="0.25">
      <c r="A137" s="53"/>
      <c r="B137" s="54" t="s">
        <v>974</v>
      </c>
      <c r="C137" s="54" t="s">
        <v>980</v>
      </c>
      <c r="D137" s="54" t="s">
        <v>991</v>
      </c>
      <c r="E137" s="54" t="s">
        <v>992</v>
      </c>
      <c r="F137" s="54" t="s">
        <v>678</v>
      </c>
      <c r="G137" s="54" t="s">
        <v>534</v>
      </c>
      <c r="H137" s="54" t="s">
        <v>902</v>
      </c>
      <c r="I137" s="54" t="s">
        <v>460</v>
      </c>
      <c r="J137" s="54" t="s">
        <v>47</v>
      </c>
      <c r="K137" s="54" t="s">
        <v>47</v>
      </c>
      <c r="L137" s="54">
        <v>112739.46</v>
      </c>
      <c r="M137" s="54">
        <v>8455.4599999999991</v>
      </c>
      <c r="N137" s="54">
        <v>8455.4599999999991</v>
      </c>
      <c r="O137" s="54">
        <v>0</v>
      </c>
      <c r="P137" s="54">
        <v>0</v>
      </c>
      <c r="Q137" s="54">
        <v>95828.54</v>
      </c>
      <c r="R137" s="54">
        <v>0</v>
      </c>
      <c r="S137" s="55" t="s">
        <v>494</v>
      </c>
      <c r="T137" s="55" t="s">
        <v>487</v>
      </c>
      <c r="U137" s="55" t="s">
        <v>993</v>
      </c>
      <c r="V137" s="55">
        <v>2020</v>
      </c>
    </row>
    <row r="138" spans="1:22" s="5" customFormat="1" ht="111.75" hidden="1" customHeight="1" x14ac:dyDescent="0.25">
      <c r="A138" s="53"/>
      <c r="B138" s="54" t="s">
        <v>975</v>
      </c>
      <c r="C138" s="54" t="s">
        <v>981</v>
      </c>
      <c r="D138" s="54" t="s">
        <v>1010</v>
      </c>
      <c r="E138" s="54" t="s">
        <v>995</v>
      </c>
      <c r="F138" s="54" t="s">
        <v>678</v>
      </c>
      <c r="G138" s="54" t="s">
        <v>534</v>
      </c>
      <c r="H138" s="54" t="s">
        <v>902</v>
      </c>
      <c r="I138" s="54" t="s">
        <v>460</v>
      </c>
      <c r="J138" s="54" t="s">
        <v>47</v>
      </c>
      <c r="K138" s="54" t="s">
        <v>47</v>
      </c>
      <c r="L138" s="54">
        <v>95269.19</v>
      </c>
      <c r="M138" s="54">
        <v>0</v>
      </c>
      <c r="N138" s="54">
        <v>7145.19</v>
      </c>
      <c r="O138" s="54">
        <v>7145.19</v>
      </c>
      <c r="P138" s="54">
        <v>0</v>
      </c>
      <c r="Q138" s="54">
        <v>80978.81</v>
      </c>
      <c r="R138" s="54">
        <v>0</v>
      </c>
      <c r="S138" s="83" t="s">
        <v>494</v>
      </c>
      <c r="T138" s="55" t="s">
        <v>547</v>
      </c>
      <c r="U138" s="55" t="s">
        <v>488</v>
      </c>
      <c r="V138" s="55">
        <v>2019</v>
      </c>
    </row>
    <row r="139" spans="1:22" s="5" customFormat="1" ht="155.25" hidden="1" customHeight="1" x14ac:dyDescent="0.25">
      <c r="A139" s="53"/>
      <c r="B139" s="54" t="s">
        <v>976</v>
      </c>
      <c r="C139" s="54" t="s">
        <v>982</v>
      </c>
      <c r="D139" s="54" t="s">
        <v>996</v>
      </c>
      <c r="E139" s="54" t="s">
        <v>997</v>
      </c>
      <c r="F139" s="54" t="s">
        <v>678</v>
      </c>
      <c r="G139" s="54" t="s">
        <v>589</v>
      </c>
      <c r="H139" s="54" t="s">
        <v>902</v>
      </c>
      <c r="I139" s="54" t="s">
        <v>460</v>
      </c>
      <c r="J139" s="54" t="s">
        <v>47</v>
      </c>
      <c r="K139" s="54" t="s">
        <v>47</v>
      </c>
      <c r="L139" s="62">
        <v>182486</v>
      </c>
      <c r="M139" s="54">
        <v>13686</v>
      </c>
      <c r="N139" s="54">
        <v>13686</v>
      </c>
      <c r="O139" s="54">
        <v>0</v>
      </c>
      <c r="P139" s="54">
        <v>0</v>
      </c>
      <c r="Q139" s="62">
        <v>155114</v>
      </c>
      <c r="R139" s="54">
        <v>0</v>
      </c>
      <c r="S139" s="55" t="s">
        <v>494</v>
      </c>
      <c r="T139" s="55" t="s">
        <v>487</v>
      </c>
      <c r="U139" s="55" t="s">
        <v>488</v>
      </c>
      <c r="V139" s="55">
        <v>2020</v>
      </c>
    </row>
    <row r="140" spans="1:22" s="5" customFormat="1" ht="89.25" hidden="1" customHeight="1" x14ac:dyDescent="0.25">
      <c r="A140" s="53"/>
      <c r="B140" s="54" t="s">
        <v>977</v>
      </c>
      <c r="C140" s="54" t="s">
        <v>983</v>
      </c>
      <c r="D140" s="54" t="s">
        <v>998</v>
      </c>
      <c r="E140" s="54" t="s">
        <v>682</v>
      </c>
      <c r="F140" s="54" t="s">
        <v>678</v>
      </c>
      <c r="G140" s="54" t="s">
        <v>511</v>
      </c>
      <c r="H140" s="54" t="s">
        <v>902</v>
      </c>
      <c r="I140" s="54" t="s">
        <v>460</v>
      </c>
      <c r="J140" s="54" t="s">
        <v>47</v>
      </c>
      <c r="K140" s="54" t="s">
        <v>47</v>
      </c>
      <c r="L140" s="54">
        <v>294117.65000000002</v>
      </c>
      <c r="M140" s="54">
        <v>22058.83</v>
      </c>
      <c r="N140" s="54">
        <v>22058.82</v>
      </c>
      <c r="O140" s="54">
        <v>0</v>
      </c>
      <c r="P140" s="54">
        <v>0</v>
      </c>
      <c r="Q140" s="62">
        <v>250000</v>
      </c>
      <c r="R140" s="54">
        <v>0</v>
      </c>
      <c r="S140" s="55" t="s">
        <v>494</v>
      </c>
      <c r="T140" s="55" t="s">
        <v>488</v>
      </c>
      <c r="U140" s="55" t="s">
        <v>643</v>
      </c>
      <c r="V140" s="55">
        <v>2021</v>
      </c>
    </row>
    <row r="141" spans="1:22" s="5" customFormat="1" ht="89.25" hidden="1" customHeight="1" x14ac:dyDescent="0.25">
      <c r="A141" s="53"/>
      <c r="B141" s="54" t="s">
        <v>978</v>
      </c>
      <c r="C141" s="54" t="s">
        <v>984</v>
      </c>
      <c r="D141" s="54" t="s">
        <v>1001</v>
      </c>
      <c r="E141" s="54" t="s">
        <v>1002</v>
      </c>
      <c r="F141" s="54" t="s">
        <v>678</v>
      </c>
      <c r="G141" s="54" t="s">
        <v>511</v>
      </c>
      <c r="H141" s="54" t="s">
        <v>902</v>
      </c>
      <c r="I141" s="54" t="s">
        <v>460</v>
      </c>
      <c r="J141" s="54" t="s">
        <v>47</v>
      </c>
      <c r="K141" s="54" t="s">
        <v>47</v>
      </c>
      <c r="L141" s="62">
        <v>34226.199999999997</v>
      </c>
      <c r="M141" s="54">
        <v>0</v>
      </c>
      <c r="N141" s="54">
        <v>2286.4899999999998</v>
      </c>
      <c r="O141" s="54">
        <v>0</v>
      </c>
      <c r="P141" s="54">
        <v>0</v>
      </c>
      <c r="Q141" s="62">
        <v>25913.51</v>
      </c>
      <c r="R141" s="54">
        <v>0</v>
      </c>
      <c r="S141" s="55" t="s">
        <v>494</v>
      </c>
      <c r="T141" s="55" t="s">
        <v>488</v>
      </c>
      <c r="U141" s="55" t="s">
        <v>643</v>
      </c>
      <c r="V141" s="55">
        <v>2019</v>
      </c>
    </row>
    <row r="142" spans="1:22" s="5" customFormat="1" ht="114" hidden="1" customHeight="1" x14ac:dyDescent="0.25">
      <c r="A142" s="53"/>
      <c r="B142" s="54" t="s">
        <v>999</v>
      </c>
      <c r="C142" s="54" t="s">
        <v>1004</v>
      </c>
      <c r="D142" s="54" t="s">
        <v>1003</v>
      </c>
      <c r="E142" s="54" t="s">
        <v>1005</v>
      </c>
      <c r="F142" s="54" t="s">
        <v>678</v>
      </c>
      <c r="G142" s="54" t="s">
        <v>701</v>
      </c>
      <c r="H142" s="54" t="s">
        <v>902</v>
      </c>
      <c r="I142" s="54" t="s">
        <v>460</v>
      </c>
      <c r="J142" s="54" t="s">
        <v>47</v>
      </c>
      <c r="K142" s="54" t="s">
        <v>47</v>
      </c>
      <c r="L142" s="62">
        <v>153580</v>
      </c>
      <c r="M142" s="62">
        <v>11518.5</v>
      </c>
      <c r="N142" s="62">
        <v>11518.5</v>
      </c>
      <c r="O142" s="54">
        <v>0</v>
      </c>
      <c r="P142" s="54">
        <v>0</v>
      </c>
      <c r="Q142" s="62">
        <v>130543</v>
      </c>
      <c r="R142" s="54">
        <v>0</v>
      </c>
      <c r="S142" s="55" t="s">
        <v>494</v>
      </c>
      <c r="T142" s="55" t="s">
        <v>547</v>
      </c>
      <c r="U142" s="55" t="s">
        <v>488</v>
      </c>
      <c r="V142" s="55">
        <v>2019</v>
      </c>
    </row>
    <row r="143" spans="1:22" s="5" customFormat="1" ht="110.25" hidden="1" customHeight="1" x14ac:dyDescent="0.25">
      <c r="A143" s="53"/>
      <c r="B143" s="54" t="s">
        <v>1000</v>
      </c>
      <c r="C143" s="54" t="s">
        <v>1007</v>
      </c>
      <c r="D143" s="54" t="s">
        <v>1009</v>
      </c>
      <c r="E143" s="54" t="s">
        <v>683</v>
      </c>
      <c r="F143" s="54" t="s">
        <v>678</v>
      </c>
      <c r="G143" s="54" t="s">
        <v>1008</v>
      </c>
      <c r="H143" s="54" t="s">
        <v>902</v>
      </c>
      <c r="I143" s="54" t="s">
        <v>460</v>
      </c>
      <c r="J143" s="54" t="s">
        <v>47</v>
      </c>
      <c r="K143" s="54" t="s">
        <v>47</v>
      </c>
      <c r="L143" s="62">
        <v>200000</v>
      </c>
      <c r="M143" s="62">
        <v>15000</v>
      </c>
      <c r="N143" s="62">
        <v>15000</v>
      </c>
      <c r="O143" s="54">
        <v>0</v>
      </c>
      <c r="P143" s="54">
        <v>0</v>
      </c>
      <c r="Q143" s="54">
        <v>170000</v>
      </c>
      <c r="R143" s="54">
        <v>0</v>
      </c>
      <c r="S143" s="55" t="s">
        <v>494</v>
      </c>
      <c r="T143" s="55">
        <v>2018.11</v>
      </c>
      <c r="U143" s="55" t="s">
        <v>993</v>
      </c>
      <c r="V143" s="55">
        <v>2020</v>
      </c>
    </row>
    <row r="144" spans="1:22" s="87" customFormat="1" ht="152.25" hidden="1" customHeight="1" x14ac:dyDescent="0.25">
      <c r="A144" s="98"/>
      <c r="B144" s="60" t="s">
        <v>361</v>
      </c>
      <c r="C144" s="60"/>
      <c r="D144" s="60" t="s">
        <v>362</v>
      </c>
      <c r="E144" s="60"/>
      <c r="F144" s="60"/>
      <c r="G144" s="60"/>
      <c r="H144" s="60"/>
      <c r="I144" s="60"/>
      <c r="J144" s="60"/>
      <c r="K144" s="60"/>
      <c r="L144" s="60"/>
      <c r="M144" s="60"/>
      <c r="N144" s="60"/>
      <c r="O144" s="60"/>
      <c r="P144" s="60"/>
      <c r="Q144" s="60"/>
      <c r="R144" s="60"/>
      <c r="S144" s="60"/>
      <c r="T144" s="60"/>
      <c r="U144" s="60"/>
      <c r="V144" s="60"/>
    </row>
    <row r="145" spans="1:22" s="5" customFormat="1" ht="86.25" hidden="1" customHeight="1" x14ac:dyDescent="0.25">
      <c r="A145" s="53"/>
      <c r="B145" s="54" t="s">
        <v>363</v>
      </c>
      <c r="C145" s="54" t="s">
        <v>687</v>
      </c>
      <c r="D145" s="46" t="s">
        <v>364</v>
      </c>
      <c r="E145" s="46" t="s">
        <v>677</v>
      </c>
      <c r="F145" s="46" t="s">
        <v>678</v>
      </c>
      <c r="G145" s="46" t="s">
        <v>458</v>
      </c>
      <c r="H145" s="46" t="s">
        <v>679</v>
      </c>
      <c r="I145" s="54" t="s">
        <v>460</v>
      </c>
      <c r="J145" s="54" t="s">
        <v>47</v>
      </c>
      <c r="K145" s="54" t="s">
        <v>47</v>
      </c>
      <c r="L145" s="54">
        <v>13180</v>
      </c>
      <c r="M145" s="54">
        <v>990</v>
      </c>
      <c r="N145" s="54">
        <v>988</v>
      </c>
      <c r="O145" s="54">
        <v>0</v>
      </c>
      <c r="P145" s="54">
        <v>0</v>
      </c>
      <c r="Q145" s="54">
        <v>11202</v>
      </c>
      <c r="R145" s="54">
        <v>0</v>
      </c>
      <c r="S145" s="55" t="s">
        <v>489</v>
      </c>
      <c r="T145" s="55" t="s">
        <v>492</v>
      </c>
      <c r="U145" s="55" t="s">
        <v>479</v>
      </c>
      <c r="V145" s="55">
        <v>2021</v>
      </c>
    </row>
    <row r="146" spans="1:22" s="5" customFormat="1" ht="66" hidden="1" customHeight="1" x14ac:dyDescent="0.25">
      <c r="A146" s="53"/>
      <c r="B146" s="54" t="s">
        <v>365</v>
      </c>
      <c r="C146" s="54" t="s">
        <v>688</v>
      </c>
      <c r="D146" s="46" t="s">
        <v>366</v>
      </c>
      <c r="E146" s="46" t="s">
        <v>680</v>
      </c>
      <c r="F146" s="46" t="s">
        <v>678</v>
      </c>
      <c r="G146" s="46" t="s">
        <v>534</v>
      </c>
      <c r="H146" s="46" t="s">
        <v>679</v>
      </c>
      <c r="I146" s="54" t="s">
        <v>460</v>
      </c>
      <c r="J146" s="54" t="s">
        <v>47</v>
      </c>
      <c r="K146" s="54" t="s">
        <v>47</v>
      </c>
      <c r="L146" s="54">
        <v>6134.9299999999994</v>
      </c>
      <c r="M146" s="54">
        <v>460.12</v>
      </c>
      <c r="N146" s="54">
        <v>460.12</v>
      </c>
      <c r="O146" s="54">
        <v>0</v>
      </c>
      <c r="P146" s="54">
        <v>0</v>
      </c>
      <c r="Q146" s="54">
        <v>5214.6900000000005</v>
      </c>
      <c r="R146" s="54">
        <v>0</v>
      </c>
      <c r="S146" s="55" t="s">
        <v>478</v>
      </c>
      <c r="T146" s="55" t="s">
        <v>492</v>
      </c>
      <c r="U146" s="55" t="s">
        <v>479</v>
      </c>
      <c r="V146" s="55">
        <v>2020</v>
      </c>
    </row>
    <row r="147" spans="1:22" s="87" customFormat="1" ht="120" hidden="1" customHeight="1" x14ac:dyDescent="0.25">
      <c r="A147" s="98"/>
      <c r="B147" s="54" t="s">
        <v>367</v>
      </c>
      <c r="C147" s="54" t="s">
        <v>689</v>
      </c>
      <c r="D147" s="89" t="s">
        <v>368</v>
      </c>
      <c r="E147" s="89" t="s">
        <v>681</v>
      </c>
      <c r="F147" s="89" t="s">
        <v>678</v>
      </c>
      <c r="G147" s="89" t="s">
        <v>589</v>
      </c>
      <c r="H147" s="89" t="s">
        <v>679</v>
      </c>
      <c r="I147" s="54" t="s">
        <v>460</v>
      </c>
      <c r="J147" s="54" t="s">
        <v>47</v>
      </c>
      <c r="K147" s="54" t="s">
        <v>47</v>
      </c>
      <c r="L147" s="54">
        <v>7725.47</v>
      </c>
      <c r="M147" s="54">
        <v>0</v>
      </c>
      <c r="N147" s="54">
        <v>579.41</v>
      </c>
      <c r="O147" s="54">
        <v>0</v>
      </c>
      <c r="P147" s="54">
        <v>579.41</v>
      </c>
      <c r="Q147" s="54">
        <v>6566.65</v>
      </c>
      <c r="R147" s="54">
        <v>0</v>
      </c>
      <c r="S147" s="55" t="s">
        <v>478</v>
      </c>
      <c r="T147" s="55" t="s">
        <v>492</v>
      </c>
      <c r="U147" s="55" t="s">
        <v>494</v>
      </c>
      <c r="V147" s="55">
        <v>2022</v>
      </c>
    </row>
    <row r="148" spans="1:22" s="5" customFormat="1" ht="153" hidden="1" customHeight="1" x14ac:dyDescent="0.25">
      <c r="A148" s="53"/>
      <c r="B148" s="54" t="s">
        <v>369</v>
      </c>
      <c r="C148" s="54" t="s">
        <v>690</v>
      </c>
      <c r="D148" s="46" t="s">
        <v>370</v>
      </c>
      <c r="E148" s="46" t="s">
        <v>682</v>
      </c>
      <c r="F148" s="46" t="s">
        <v>678</v>
      </c>
      <c r="G148" s="46" t="s">
        <v>511</v>
      </c>
      <c r="H148" s="46" t="s">
        <v>679</v>
      </c>
      <c r="I148" s="54" t="s">
        <v>460</v>
      </c>
      <c r="J148" s="54" t="s">
        <v>47</v>
      </c>
      <c r="K148" s="54" t="s">
        <v>47</v>
      </c>
      <c r="L148" s="62">
        <f>'2 lentelė'!L143</f>
        <v>200000</v>
      </c>
      <c r="M148" s="54">
        <v>0</v>
      </c>
      <c r="N148" s="54">
        <v>408.99</v>
      </c>
      <c r="O148" s="54">
        <v>0</v>
      </c>
      <c r="P148" s="54">
        <v>409</v>
      </c>
      <c r="Q148" s="54">
        <v>4635.28</v>
      </c>
      <c r="R148" s="54">
        <v>0</v>
      </c>
      <c r="S148" s="55" t="s">
        <v>478</v>
      </c>
      <c r="T148" s="55" t="s">
        <v>492</v>
      </c>
      <c r="U148" s="55" t="s">
        <v>479</v>
      </c>
      <c r="V148" s="55">
        <v>2022</v>
      </c>
    </row>
    <row r="149" spans="1:22" s="5" customFormat="1" ht="105" hidden="1" customHeight="1" x14ac:dyDescent="0.25">
      <c r="A149" s="53"/>
      <c r="B149" s="54" t="s">
        <v>371</v>
      </c>
      <c r="C149" s="54" t="s">
        <v>691</v>
      </c>
      <c r="D149" s="46" t="s">
        <v>372</v>
      </c>
      <c r="E149" s="46" t="s">
        <v>683</v>
      </c>
      <c r="F149" s="46" t="s">
        <v>678</v>
      </c>
      <c r="G149" s="46" t="s">
        <v>684</v>
      </c>
      <c r="H149" s="46" t="s">
        <v>679</v>
      </c>
      <c r="I149" s="54" t="s">
        <v>460</v>
      </c>
      <c r="J149" s="54" t="s">
        <v>47</v>
      </c>
      <c r="K149" s="54" t="s">
        <v>47</v>
      </c>
      <c r="L149" s="54">
        <v>2271.7600000000002</v>
      </c>
      <c r="M149" s="54">
        <v>170.38</v>
      </c>
      <c r="N149" s="54">
        <v>170.38</v>
      </c>
      <c r="O149" s="54">
        <v>0</v>
      </c>
      <c r="P149" s="54">
        <v>0</v>
      </c>
      <c r="Q149" s="54">
        <v>1931</v>
      </c>
      <c r="R149" s="54">
        <v>0</v>
      </c>
      <c r="S149" s="55" t="s">
        <v>489</v>
      </c>
      <c r="T149" s="55" t="s">
        <v>479</v>
      </c>
      <c r="U149" s="55" t="s">
        <v>645</v>
      </c>
      <c r="V149" s="55">
        <v>2020</v>
      </c>
    </row>
    <row r="150" spans="1:22" s="5" customFormat="1" ht="162" hidden="1" customHeight="1" x14ac:dyDescent="0.25">
      <c r="A150" s="53"/>
      <c r="B150" s="54" t="s">
        <v>373</v>
      </c>
      <c r="C150" s="54" t="s">
        <v>692</v>
      </c>
      <c r="D150" s="46" t="s">
        <v>374</v>
      </c>
      <c r="E150" s="46" t="s">
        <v>685</v>
      </c>
      <c r="F150" s="46" t="s">
        <v>678</v>
      </c>
      <c r="G150" s="46" t="s">
        <v>686</v>
      </c>
      <c r="H150" s="46" t="s">
        <v>679</v>
      </c>
      <c r="I150" s="54" t="s">
        <v>460</v>
      </c>
      <c r="J150" s="54" t="s">
        <v>47</v>
      </c>
      <c r="K150" s="54" t="s">
        <v>47</v>
      </c>
      <c r="L150" s="54">
        <v>6589.41</v>
      </c>
      <c r="M150" s="54">
        <v>0</v>
      </c>
      <c r="N150" s="54">
        <v>494.2</v>
      </c>
      <c r="O150" s="54">
        <v>0</v>
      </c>
      <c r="P150" s="54">
        <v>494.21</v>
      </c>
      <c r="Q150" s="54">
        <v>5601</v>
      </c>
      <c r="R150" s="54">
        <v>0</v>
      </c>
      <c r="S150" s="55" t="s">
        <v>478</v>
      </c>
      <c r="T150" s="55" t="s">
        <v>490</v>
      </c>
      <c r="U150" s="55" t="s">
        <v>645</v>
      </c>
      <c r="V150" s="55">
        <v>2022</v>
      </c>
    </row>
    <row r="151" spans="1:22" s="5" customFormat="1" ht="78.75" hidden="1" customHeight="1" x14ac:dyDescent="0.25">
      <c r="A151" s="53"/>
      <c r="B151" s="37" t="s">
        <v>375</v>
      </c>
      <c r="C151" s="37"/>
      <c r="D151" s="37" t="s">
        <v>376</v>
      </c>
      <c r="E151" s="37"/>
      <c r="F151" s="37"/>
      <c r="G151" s="37"/>
      <c r="H151" s="37"/>
      <c r="I151" s="37"/>
      <c r="J151" s="37"/>
      <c r="K151" s="37"/>
      <c r="L151" s="37"/>
      <c r="M151" s="37"/>
      <c r="N151" s="37"/>
      <c r="O151" s="37"/>
      <c r="P151" s="37"/>
      <c r="Q151" s="37"/>
      <c r="R151" s="37"/>
      <c r="S151" s="37"/>
      <c r="T151" s="37"/>
      <c r="U151" s="37"/>
      <c r="V151" s="37"/>
    </row>
    <row r="152" spans="1:22" s="5" customFormat="1" ht="82.5" hidden="1" customHeight="1" x14ac:dyDescent="0.25">
      <c r="A152" s="53"/>
      <c r="B152" s="60" t="s">
        <v>377</v>
      </c>
      <c r="C152" s="60"/>
      <c r="D152" s="60" t="s">
        <v>693</v>
      </c>
      <c r="E152" s="60"/>
      <c r="F152" s="60"/>
      <c r="G152" s="60"/>
      <c r="H152" s="60"/>
      <c r="I152" s="60"/>
      <c r="J152" s="60"/>
      <c r="K152" s="60"/>
      <c r="L152" s="60"/>
      <c r="M152" s="60"/>
      <c r="N152" s="60"/>
      <c r="O152" s="60"/>
      <c r="P152" s="60"/>
      <c r="Q152" s="60"/>
      <c r="R152" s="60"/>
      <c r="S152" s="60"/>
      <c r="T152" s="60"/>
      <c r="U152" s="60"/>
      <c r="V152" s="60"/>
    </row>
    <row r="153" spans="1:22" s="5" customFormat="1" ht="87.75" hidden="1" customHeight="1" x14ac:dyDescent="0.25">
      <c r="A153" s="53"/>
      <c r="B153" s="54" t="s">
        <v>704</v>
      </c>
      <c r="C153" s="54" t="s">
        <v>707</v>
      </c>
      <c r="D153" s="46" t="s">
        <v>380</v>
      </c>
      <c r="E153" s="46" t="s">
        <v>694</v>
      </c>
      <c r="F153" s="46" t="s">
        <v>695</v>
      </c>
      <c r="G153" s="46" t="s">
        <v>458</v>
      </c>
      <c r="H153" s="46" t="s">
        <v>696</v>
      </c>
      <c r="I153" s="54" t="s">
        <v>460</v>
      </c>
      <c r="J153" s="54" t="s">
        <v>697</v>
      </c>
      <c r="K153" s="54" t="s">
        <v>697</v>
      </c>
      <c r="L153" s="54">
        <v>228408.24</v>
      </c>
      <c r="M153" s="54">
        <v>17141</v>
      </c>
      <c r="N153" s="54">
        <v>17120.240000000002</v>
      </c>
      <c r="O153" s="54">
        <v>0</v>
      </c>
      <c r="P153" s="54">
        <v>0</v>
      </c>
      <c r="Q153" s="54">
        <v>194147</v>
      </c>
      <c r="R153" s="54">
        <v>0</v>
      </c>
      <c r="S153" s="55" t="s">
        <v>489</v>
      </c>
      <c r="T153" s="55" t="s">
        <v>492</v>
      </c>
      <c r="U153" s="55" t="s">
        <v>494</v>
      </c>
      <c r="V153" s="55">
        <v>2021</v>
      </c>
    </row>
    <row r="154" spans="1:22" s="5" customFormat="1" ht="141.75" hidden="1" customHeight="1" x14ac:dyDescent="0.25">
      <c r="A154" s="53"/>
      <c r="B154" s="54" t="s">
        <v>705</v>
      </c>
      <c r="C154" s="54" t="s">
        <v>708</v>
      </c>
      <c r="D154" s="46" t="s">
        <v>382</v>
      </c>
      <c r="E154" s="46" t="s">
        <v>698</v>
      </c>
      <c r="F154" s="46" t="s">
        <v>695</v>
      </c>
      <c r="G154" s="46" t="s">
        <v>589</v>
      </c>
      <c r="H154" s="46" t="s">
        <v>696</v>
      </c>
      <c r="I154" s="54" t="s">
        <v>460</v>
      </c>
      <c r="J154" s="54" t="s">
        <v>47</v>
      </c>
      <c r="K154" s="54" t="s">
        <v>47</v>
      </c>
      <c r="L154" s="54">
        <v>207636</v>
      </c>
      <c r="M154" s="54">
        <v>15573</v>
      </c>
      <c r="N154" s="54">
        <v>15573</v>
      </c>
      <c r="O154" s="54">
        <v>0</v>
      </c>
      <c r="P154" s="54">
        <v>0</v>
      </c>
      <c r="Q154" s="54">
        <v>176490</v>
      </c>
      <c r="R154" s="54">
        <v>0</v>
      </c>
      <c r="S154" s="55" t="s">
        <v>561</v>
      </c>
      <c r="T154" s="55" t="s">
        <v>478</v>
      </c>
      <c r="U154" s="55" t="s">
        <v>479</v>
      </c>
      <c r="V154" s="55">
        <v>2022</v>
      </c>
    </row>
    <row r="155" spans="1:22" s="5" customFormat="1" ht="80.25" hidden="1" customHeight="1" x14ac:dyDescent="0.25">
      <c r="A155" s="53"/>
      <c r="B155" s="54" t="s">
        <v>706</v>
      </c>
      <c r="C155" s="54" t="s">
        <v>709</v>
      </c>
      <c r="D155" s="46" t="s">
        <v>384</v>
      </c>
      <c r="E155" s="46" t="s">
        <v>699</v>
      </c>
      <c r="F155" s="46" t="s">
        <v>695</v>
      </c>
      <c r="G155" s="46" t="s">
        <v>511</v>
      </c>
      <c r="H155" s="46" t="s">
        <v>696</v>
      </c>
      <c r="I155" s="54" t="s">
        <v>460</v>
      </c>
      <c r="J155" s="54" t="s">
        <v>47</v>
      </c>
      <c r="K155" s="54" t="s">
        <v>47</v>
      </c>
      <c r="L155" s="54">
        <v>291706.14</v>
      </c>
      <c r="M155" s="54">
        <v>21883.84</v>
      </c>
      <c r="N155" s="54">
        <v>21872.09</v>
      </c>
      <c r="O155" s="54">
        <v>0</v>
      </c>
      <c r="P155" s="54">
        <v>0</v>
      </c>
      <c r="Q155" s="54">
        <v>247950.21</v>
      </c>
      <c r="R155" s="54">
        <v>0</v>
      </c>
      <c r="S155" s="55" t="s">
        <v>478</v>
      </c>
      <c r="T155" s="55" t="s">
        <v>490</v>
      </c>
      <c r="U155" s="55" t="s">
        <v>494</v>
      </c>
      <c r="V155" s="55">
        <v>2022</v>
      </c>
    </row>
    <row r="156" spans="1:22" s="5" customFormat="1" ht="150.75" hidden="1" customHeight="1" x14ac:dyDescent="0.25">
      <c r="A156" s="53"/>
      <c r="B156" s="54" t="s">
        <v>385</v>
      </c>
      <c r="C156" s="54" t="s">
        <v>710</v>
      </c>
      <c r="D156" s="46" t="s">
        <v>386</v>
      </c>
      <c r="E156" s="46" t="s">
        <v>700</v>
      </c>
      <c r="F156" s="46" t="s">
        <v>695</v>
      </c>
      <c r="G156" s="46" t="s">
        <v>701</v>
      </c>
      <c r="H156" s="46" t="s">
        <v>696</v>
      </c>
      <c r="I156" s="54" t="s">
        <v>460</v>
      </c>
      <c r="J156" s="54" t="s">
        <v>697</v>
      </c>
      <c r="K156" s="54" t="s">
        <v>697</v>
      </c>
      <c r="L156" s="54">
        <v>140294.17000000001</v>
      </c>
      <c r="M156" s="54">
        <v>10522.07</v>
      </c>
      <c r="N156" s="54">
        <v>10522.06</v>
      </c>
      <c r="O156" s="54">
        <v>0</v>
      </c>
      <c r="P156" s="54">
        <v>0</v>
      </c>
      <c r="Q156" s="54">
        <v>119250.04</v>
      </c>
      <c r="R156" s="54">
        <v>0</v>
      </c>
      <c r="S156" s="55" t="s">
        <v>561</v>
      </c>
      <c r="T156" s="55" t="s">
        <v>478</v>
      </c>
      <c r="U156" s="55" t="s">
        <v>479</v>
      </c>
      <c r="V156" s="55">
        <v>2021</v>
      </c>
    </row>
    <row r="157" spans="1:22" s="5" customFormat="1" ht="80.25" hidden="1" customHeight="1" x14ac:dyDescent="0.25">
      <c r="A157" s="53"/>
      <c r="B157" s="54" t="s">
        <v>387</v>
      </c>
      <c r="C157" s="54" t="s">
        <v>711</v>
      </c>
      <c r="D157" s="46" t="s">
        <v>388</v>
      </c>
      <c r="E157" s="46" t="s">
        <v>702</v>
      </c>
      <c r="F157" s="46" t="s">
        <v>678</v>
      </c>
      <c r="G157" s="46" t="s">
        <v>534</v>
      </c>
      <c r="H157" s="46" t="s">
        <v>696</v>
      </c>
      <c r="I157" s="54" t="s">
        <v>460</v>
      </c>
      <c r="J157" s="54" t="s">
        <v>47</v>
      </c>
      <c r="K157" s="54" t="s">
        <v>47</v>
      </c>
      <c r="L157" s="54">
        <v>46794.12</v>
      </c>
      <c r="M157" s="54">
        <v>3509.56</v>
      </c>
      <c r="N157" s="54">
        <v>3509.56</v>
      </c>
      <c r="O157" s="54">
        <v>0</v>
      </c>
      <c r="P157" s="54">
        <v>0</v>
      </c>
      <c r="Q157" s="54">
        <v>39775</v>
      </c>
      <c r="R157" s="54">
        <v>0</v>
      </c>
      <c r="S157" s="55" t="s">
        <v>478</v>
      </c>
      <c r="T157" s="55" t="s">
        <v>492</v>
      </c>
      <c r="U157" s="55" t="s">
        <v>479</v>
      </c>
      <c r="V157" s="55">
        <v>2020</v>
      </c>
    </row>
    <row r="158" spans="1:22" s="5" customFormat="1" ht="105.75" hidden="1" customHeight="1" x14ac:dyDescent="0.25">
      <c r="A158" s="53"/>
      <c r="B158" s="54" t="s">
        <v>389</v>
      </c>
      <c r="C158" s="54" t="s">
        <v>712</v>
      </c>
      <c r="D158" s="46" t="s">
        <v>390</v>
      </c>
      <c r="E158" s="46" t="s">
        <v>703</v>
      </c>
      <c r="F158" s="46" t="s">
        <v>678</v>
      </c>
      <c r="G158" s="46" t="s">
        <v>684</v>
      </c>
      <c r="H158" s="46" t="s">
        <v>696</v>
      </c>
      <c r="I158" s="54" t="s">
        <v>460</v>
      </c>
      <c r="J158" s="54" t="s">
        <v>47</v>
      </c>
      <c r="K158" s="54" t="s">
        <v>47</v>
      </c>
      <c r="L158" s="54">
        <v>54411.76</v>
      </c>
      <c r="M158" s="54">
        <v>4080.88</v>
      </c>
      <c r="N158" s="54">
        <v>4080.88</v>
      </c>
      <c r="O158" s="54">
        <v>0</v>
      </c>
      <c r="P158" s="54">
        <v>0</v>
      </c>
      <c r="Q158" s="54">
        <v>46250</v>
      </c>
      <c r="R158" s="54">
        <v>0</v>
      </c>
      <c r="S158" s="55" t="s">
        <v>561</v>
      </c>
      <c r="T158" s="55" t="s">
        <v>478</v>
      </c>
      <c r="U158" s="55" t="s">
        <v>490</v>
      </c>
      <c r="V158" s="55">
        <v>2019</v>
      </c>
    </row>
    <row r="159" spans="1:22" s="5" customFormat="1" ht="92.25" hidden="1" customHeight="1" x14ac:dyDescent="0.25">
      <c r="A159" s="53"/>
      <c r="B159" s="37" t="s">
        <v>391</v>
      </c>
      <c r="C159" s="37"/>
      <c r="D159" s="37" t="s">
        <v>392</v>
      </c>
      <c r="E159" s="37"/>
      <c r="F159" s="37"/>
      <c r="G159" s="37"/>
      <c r="H159" s="37"/>
      <c r="I159" s="37"/>
      <c r="J159" s="37"/>
      <c r="K159" s="37"/>
      <c r="L159" s="37"/>
      <c r="M159" s="37"/>
      <c r="N159" s="37"/>
      <c r="O159" s="37"/>
      <c r="P159" s="37"/>
      <c r="Q159" s="37"/>
      <c r="R159" s="37"/>
      <c r="S159" s="37"/>
      <c r="T159" s="37"/>
      <c r="U159" s="37"/>
      <c r="V159" s="37"/>
    </row>
    <row r="160" spans="1:22" s="5" customFormat="1" ht="64.5" hidden="1" customHeight="1" x14ac:dyDescent="0.25">
      <c r="A160" s="53"/>
      <c r="B160" s="60" t="s">
        <v>393</v>
      </c>
      <c r="C160" s="60"/>
      <c r="D160" s="60" t="s">
        <v>394</v>
      </c>
      <c r="E160" s="60"/>
      <c r="F160" s="60"/>
      <c r="G160" s="60"/>
      <c r="H160" s="60"/>
      <c r="I160" s="60"/>
      <c r="J160" s="60"/>
      <c r="K160" s="60"/>
      <c r="L160" s="60"/>
      <c r="M160" s="60"/>
      <c r="N160" s="60"/>
      <c r="O160" s="60"/>
      <c r="P160" s="60"/>
      <c r="Q160" s="60"/>
      <c r="R160" s="60"/>
      <c r="S160" s="60"/>
      <c r="T160" s="60"/>
      <c r="U160" s="60"/>
      <c r="V160" s="60"/>
    </row>
    <row r="161" spans="1:22" s="5" customFormat="1" ht="78.75" hidden="1" customHeight="1" x14ac:dyDescent="0.25">
      <c r="A161" s="53"/>
      <c r="B161" s="54" t="s">
        <v>395</v>
      </c>
      <c r="C161" s="54" t="s">
        <v>716</v>
      </c>
      <c r="D161" s="46" t="s">
        <v>396</v>
      </c>
      <c r="E161" s="46" t="s">
        <v>456</v>
      </c>
      <c r="F161" s="46" t="s">
        <v>713</v>
      </c>
      <c r="G161" s="46" t="s">
        <v>463</v>
      </c>
      <c r="H161" s="46" t="s">
        <v>714</v>
      </c>
      <c r="I161" s="54" t="s">
        <v>460</v>
      </c>
      <c r="J161" s="54" t="s">
        <v>47</v>
      </c>
      <c r="K161" s="54" t="s">
        <v>47</v>
      </c>
      <c r="L161" s="54">
        <v>84698.81</v>
      </c>
      <c r="M161" s="54">
        <v>12704.83</v>
      </c>
      <c r="N161" s="54">
        <v>0</v>
      </c>
      <c r="O161" s="54">
        <v>0</v>
      </c>
      <c r="P161" s="54">
        <v>0</v>
      </c>
      <c r="Q161" s="54">
        <v>71993.98</v>
      </c>
      <c r="R161" s="54">
        <v>0</v>
      </c>
      <c r="S161" s="55" t="s">
        <v>500</v>
      </c>
      <c r="T161" s="55" t="s">
        <v>478</v>
      </c>
      <c r="U161" s="55" t="s">
        <v>479</v>
      </c>
      <c r="V161" s="55">
        <v>2019</v>
      </c>
    </row>
    <row r="162" spans="1:22" s="5" customFormat="1" ht="105.75" hidden="1" customHeight="1" x14ac:dyDescent="0.25">
      <c r="A162" s="53"/>
      <c r="B162" s="54" t="s">
        <v>397</v>
      </c>
      <c r="C162" s="54" t="s">
        <v>717</v>
      </c>
      <c r="D162" s="46" t="s">
        <v>398</v>
      </c>
      <c r="E162" s="46" t="s">
        <v>1018</v>
      </c>
      <c r="F162" s="46" t="s">
        <v>713</v>
      </c>
      <c r="G162" s="46" t="s">
        <v>544</v>
      </c>
      <c r="H162" s="46" t="s">
        <v>714</v>
      </c>
      <c r="I162" s="54" t="s">
        <v>460</v>
      </c>
      <c r="J162" s="54" t="s">
        <v>47</v>
      </c>
      <c r="K162" s="54" t="s">
        <v>47</v>
      </c>
      <c r="L162" s="54">
        <v>70618.14</v>
      </c>
      <c r="M162" s="54">
        <v>10592.73</v>
      </c>
      <c r="N162" s="54">
        <v>0</v>
      </c>
      <c r="O162" s="54">
        <v>0</v>
      </c>
      <c r="P162" s="54">
        <v>0</v>
      </c>
      <c r="Q162" s="54">
        <v>60025.41</v>
      </c>
      <c r="R162" s="54">
        <v>0</v>
      </c>
      <c r="S162" s="55" t="s">
        <v>500</v>
      </c>
      <c r="T162" s="55" t="s">
        <v>489</v>
      </c>
      <c r="U162" s="55" t="s">
        <v>490</v>
      </c>
      <c r="V162" s="55">
        <v>2019</v>
      </c>
    </row>
    <row r="163" spans="1:22" s="5" customFormat="1" ht="82.5" hidden="1" customHeight="1" x14ac:dyDescent="0.25">
      <c r="A163" s="53"/>
      <c r="B163" s="54" t="s">
        <v>399</v>
      </c>
      <c r="C163" s="54" t="s">
        <v>718</v>
      </c>
      <c r="D163" s="46" t="s">
        <v>400</v>
      </c>
      <c r="E163" s="46" t="s">
        <v>715</v>
      </c>
      <c r="F163" s="46" t="s">
        <v>713</v>
      </c>
      <c r="G163" s="46" t="s">
        <v>542</v>
      </c>
      <c r="H163" s="46" t="s">
        <v>714</v>
      </c>
      <c r="I163" s="54" t="s">
        <v>460</v>
      </c>
      <c r="J163" s="54" t="s">
        <v>47</v>
      </c>
      <c r="K163" s="54" t="s">
        <v>47</v>
      </c>
      <c r="L163" s="54">
        <v>50888</v>
      </c>
      <c r="M163" s="54">
        <v>7633.2</v>
      </c>
      <c r="N163" s="54">
        <v>0</v>
      </c>
      <c r="O163" s="54">
        <v>0</v>
      </c>
      <c r="P163" s="54">
        <v>0</v>
      </c>
      <c r="Q163" s="54">
        <v>43254.8</v>
      </c>
      <c r="R163" s="54">
        <v>0</v>
      </c>
      <c r="S163" s="55" t="s">
        <v>513</v>
      </c>
      <c r="T163" s="55" t="s">
        <v>493</v>
      </c>
      <c r="U163" s="55" t="s">
        <v>483</v>
      </c>
      <c r="V163" s="55">
        <v>2018</v>
      </c>
    </row>
    <row r="164" spans="1:22" s="5" customFormat="1" ht="140.25" hidden="1" customHeight="1" x14ac:dyDescent="0.25">
      <c r="A164" s="53"/>
      <c r="B164" s="54" t="s">
        <v>401</v>
      </c>
      <c r="C164" s="54" t="s">
        <v>719</v>
      </c>
      <c r="D164" s="46" t="s">
        <v>402</v>
      </c>
      <c r="E164" s="46" t="s">
        <v>506</v>
      </c>
      <c r="F164" s="46" t="s">
        <v>713</v>
      </c>
      <c r="G164" s="46" t="s">
        <v>684</v>
      </c>
      <c r="H164" s="46" t="s">
        <v>714</v>
      </c>
      <c r="I164" s="54" t="s">
        <v>460</v>
      </c>
      <c r="J164" s="54" t="s">
        <v>461</v>
      </c>
      <c r="K164" s="54" t="s">
        <v>47</v>
      </c>
      <c r="L164" s="54">
        <v>1029164.59</v>
      </c>
      <c r="M164" s="54">
        <v>406481.59</v>
      </c>
      <c r="N164" s="54">
        <v>0</v>
      </c>
      <c r="O164" s="54">
        <v>0</v>
      </c>
      <c r="P164" s="54">
        <v>0</v>
      </c>
      <c r="Q164" s="54">
        <v>622683</v>
      </c>
      <c r="R164" s="54">
        <v>0</v>
      </c>
      <c r="S164" s="55" t="s">
        <v>561</v>
      </c>
      <c r="T164" s="55" t="s">
        <v>478</v>
      </c>
      <c r="U164" s="55" t="s">
        <v>479</v>
      </c>
      <c r="V164" s="55">
        <v>2020</v>
      </c>
    </row>
    <row r="165" spans="1:22" s="5" customFormat="1" ht="40.5" hidden="1" customHeight="1" x14ac:dyDescent="0.25">
      <c r="A165" s="53"/>
      <c r="B165" s="60" t="s">
        <v>403</v>
      </c>
      <c r="C165" s="60"/>
      <c r="D165" s="60" t="s">
        <v>404</v>
      </c>
      <c r="E165" s="60"/>
      <c r="F165" s="60"/>
      <c r="G165" s="60"/>
      <c r="H165" s="60"/>
      <c r="I165" s="60"/>
      <c r="J165" s="60"/>
      <c r="K165" s="60"/>
      <c r="L165" s="60"/>
      <c r="M165" s="60"/>
      <c r="N165" s="60"/>
      <c r="O165" s="60"/>
      <c r="P165" s="60"/>
      <c r="Q165" s="60"/>
      <c r="R165" s="60"/>
      <c r="S165" s="60"/>
      <c r="T165" s="60"/>
      <c r="U165" s="60"/>
      <c r="V165" s="60"/>
    </row>
    <row r="166" spans="1:22" s="5" customFormat="1" ht="117" hidden="1" customHeight="1" x14ac:dyDescent="0.25">
      <c r="A166" s="53"/>
      <c r="B166" s="54" t="s">
        <v>405</v>
      </c>
      <c r="C166" s="54" t="s">
        <v>724</v>
      </c>
      <c r="D166" s="46" t="s">
        <v>406</v>
      </c>
      <c r="E166" s="46" t="s">
        <v>503</v>
      </c>
      <c r="F166" s="46" t="s">
        <v>713</v>
      </c>
      <c r="G166" s="46" t="s">
        <v>504</v>
      </c>
      <c r="H166" s="46" t="s">
        <v>720</v>
      </c>
      <c r="I166" s="54" t="s">
        <v>460</v>
      </c>
      <c r="J166" s="54" t="s">
        <v>461</v>
      </c>
      <c r="K166" s="54" t="s">
        <v>47</v>
      </c>
      <c r="L166" s="54">
        <v>431079</v>
      </c>
      <c r="M166" s="54">
        <v>64661</v>
      </c>
      <c r="N166" s="54">
        <v>0</v>
      </c>
      <c r="O166" s="54">
        <v>0</v>
      </c>
      <c r="P166" s="54">
        <v>0</v>
      </c>
      <c r="Q166" s="54">
        <v>366418</v>
      </c>
      <c r="R166" s="54">
        <v>0</v>
      </c>
      <c r="S166" s="55" t="s">
        <v>576</v>
      </c>
      <c r="T166" s="55" t="s">
        <v>517</v>
      </c>
      <c r="U166" s="55" t="s">
        <v>483</v>
      </c>
      <c r="V166" s="55">
        <v>2019</v>
      </c>
    </row>
    <row r="167" spans="1:22" s="5" customFormat="1" ht="103.5" hidden="1" customHeight="1" x14ac:dyDescent="0.25">
      <c r="A167" s="53"/>
      <c r="B167" s="54" t="s">
        <v>407</v>
      </c>
      <c r="C167" s="54" t="s">
        <v>725</v>
      </c>
      <c r="D167" s="46" t="s">
        <v>721</v>
      </c>
      <c r="E167" s="46" t="s">
        <v>506</v>
      </c>
      <c r="F167" s="46" t="s">
        <v>713</v>
      </c>
      <c r="G167" s="46" t="s">
        <v>546</v>
      </c>
      <c r="H167" s="46" t="s">
        <v>720</v>
      </c>
      <c r="I167" s="54" t="s">
        <v>460</v>
      </c>
      <c r="J167" s="54" t="s">
        <v>461</v>
      </c>
      <c r="K167" s="54" t="s">
        <v>47</v>
      </c>
      <c r="L167" s="54">
        <v>429341.5</v>
      </c>
      <c r="M167" s="54">
        <v>64401.23</v>
      </c>
      <c r="N167" s="54">
        <v>0</v>
      </c>
      <c r="O167" s="54">
        <v>0</v>
      </c>
      <c r="P167" s="54">
        <v>0</v>
      </c>
      <c r="Q167" s="54">
        <v>364940.27</v>
      </c>
      <c r="R167" s="54">
        <v>0</v>
      </c>
      <c r="S167" s="55" t="s">
        <v>722</v>
      </c>
      <c r="T167" s="55" t="s">
        <v>617</v>
      </c>
      <c r="U167" s="55" t="s">
        <v>536</v>
      </c>
      <c r="V167" s="55">
        <v>2019</v>
      </c>
    </row>
    <row r="168" spans="1:22" s="5" customFormat="1" ht="79.5" hidden="1" customHeight="1" x14ac:dyDescent="0.25">
      <c r="A168" s="53"/>
      <c r="B168" s="54" t="s">
        <v>409</v>
      </c>
      <c r="C168" s="54" t="s">
        <v>726</v>
      </c>
      <c r="D168" s="46" t="s">
        <v>410</v>
      </c>
      <c r="E168" s="46" t="s">
        <v>456</v>
      </c>
      <c r="F168" s="46" t="s">
        <v>713</v>
      </c>
      <c r="G168" s="46" t="s">
        <v>463</v>
      </c>
      <c r="H168" s="46" t="s">
        <v>720</v>
      </c>
      <c r="I168" s="54" t="s">
        <v>460</v>
      </c>
      <c r="J168" s="54" t="s">
        <v>47</v>
      </c>
      <c r="K168" s="54" t="s">
        <v>47</v>
      </c>
      <c r="L168" s="54">
        <v>301124</v>
      </c>
      <c r="M168" s="54">
        <v>45169</v>
      </c>
      <c r="N168" s="54">
        <v>0</v>
      </c>
      <c r="O168" s="54">
        <v>0</v>
      </c>
      <c r="P168" s="54">
        <v>0</v>
      </c>
      <c r="Q168" s="54">
        <v>255955</v>
      </c>
      <c r="R168" s="54">
        <v>0</v>
      </c>
      <c r="S168" s="55" t="s">
        <v>722</v>
      </c>
      <c r="T168" s="55" t="s">
        <v>617</v>
      </c>
      <c r="U168" s="55" t="s">
        <v>513</v>
      </c>
      <c r="V168" s="55">
        <v>2018</v>
      </c>
    </row>
    <row r="169" spans="1:22" s="5" customFormat="1" ht="80.25" hidden="1" customHeight="1" x14ac:dyDescent="0.25">
      <c r="A169" s="53"/>
      <c r="B169" s="54" t="s">
        <v>411</v>
      </c>
      <c r="C169" s="54" t="s">
        <v>727</v>
      </c>
      <c r="D169" s="46" t="s">
        <v>412</v>
      </c>
      <c r="E169" s="46" t="s">
        <v>471</v>
      </c>
      <c r="F169" s="46" t="s">
        <v>713</v>
      </c>
      <c r="G169" s="46" t="s">
        <v>472</v>
      </c>
      <c r="H169" s="46" t="s">
        <v>720</v>
      </c>
      <c r="I169" s="54" t="s">
        <v>460</v>
      </c>
      <c r="J169" s="54" t="s">
        <v>47</v>
      </c>
      <c r="K169" s="54" t="s">
        <v>47</v>
      </c>
      <c r="L169" s="54">
        <v>577160</v>
      </c>
      <c r="M169" s="54">
        <v>86575</v>
      </c>
      <c r="N169" s="54">
        <v>0</v>
      </c>
      <c r="O169" s="54">
        <v>0</v>
      </c>
      <c r="P169" s="54">
        <v>0</v>
      </c>
      <c r="Q169" s="54">
        <v>490585</v>
      </c>
      <c r="R169" s="54">
        <v>0</v>
      </c>
      <c r="S169" s="55" t="s">
        <v>576</v>
      </c>
      <c r="T169" s="55" t="s">
        <v>517</v>
      </c>
      <c r="U169" s="55" t="s">
        <v>536</v>
      </c>
      <c r="V169" s="55">
        <v>2020</v>
      </c>
    </row>
    <row r="170" spans="1:22" s="5" customFormat="1" ht="80.25" hidden="1" customHeight="1" x14ac:dyDescent="0.25">
      <c r="A170" s="53"/>
      <c r="B170" s="54" t="s">
        <v>413</v>
      </c>
      <c r="C170" s="54" t="s">
        <v>728</v>
      </c>
      <c r="D170" s="46" t="s">
        <v>414</v>
      </c>
      <c r="E170" s="46" t="s">
        <v>541</v>
      </c>
      <c r="F170" s="46" t="s">
        <v>713</v>
      </c>
      <c r="G170" s="46" t="s">
        <v>542</v>
      </c>
      <c r="H170" s="46" t="s">
        <v>720</v>
      </c>
      <c r="I170" s="54" t="s">
        <v>460</v>
      </c>
      <c r="J170" s="54" t="s">
        <v>47</v>
      </c>
      <c r="K170" s="54" t="s">
        <v>47</v>
      </c>
      <c r="L170" s="54">
        <v>347740</v>
      </c>
      <c r="M170" s="54">
        <v>52161</v>
      </c>
      <c r="N170" s="54">
        <v>0</v>
      </c>
      <c r="O170" s="54">
        <v>0</v>
      </c>
      <c r="P170" s="54">
        <v>0</v>
      </c>
      <c r="Q170" s="54">
        <v>295579</v>
      </c>
      <c r="R170" s="54">
        <v>0</v>
      </c>
      <c r="S170" s="55" t="s">
        <v>722</v>
      </c>
      <c r="T170" s="55" t="s">
        <v>723</v>
      </c>
      <c r="U170" s="55" t="s">
        <v>536</v>
      </c>
      <c r="V170" s="55">
        <v>2020</v>
      </c>
    </row>
    <row r="171" spans="1:22" s="5" customFormat="1" ht="81.75" hidden="1" customHeight="1" x14ac:dyDescent="0.25">
      <c r="A171" s="53"/>
      <c r="B171" s="54" t="s">
        <v>415</v>
      </c>
      <c r="C171" s="54" t="s">
        <v>729</v>
      </c>
      <c r="D171" s="46" t="s">
        <v>416</v>
      </c>
      <c r="E171" s="46" t="s">
        <v>510</v>
      </c>
      <c r="F171" s="46" t="s">
        <v>713</v>
      </c>
      <c r="G171" s="46" t="s">
        <v>511</v>
      </c>
      <c r="H171" s="46" t="s">
        <v>720</v>
      </c>
      <c r="I171" s="54" t="s">
        <v>460</v>
      </c>
      <c r="J171" s="54" t="s">
        <v>47</v>
      </c>
      <c r="K171" s="54" t="s">
        <v>47</v>
      </c>
      <c r="L171" s="54">
        <v>498295</v>
      </c>
      <c r="M171" s="54">
        <v>74744</v>
      </c>
      <c r="N171" s="54">
        <v>0</v>
      </c>
      <c r="O171" s="54">
        <v>0</v>
      </c>
      <c r="P171" s="54">
        <v>0</v>
      </c>
      <c r="Q171" s="54">
        <v>423551</v>
      </c>
      <c r="R171" s="54">
        <v>0</v>
      </c>
      <c r="S171" s="55" t="s">
        <v>576</v>
      </c>
      <c r="T171" s="55" t="s">
        <v>617</v>
      </c>
      <c r="U171" s="55" t="s">
        <v>602</v>
      </c>
      <c r="V171" s="55">
        <v>2020</v>
      </c>
    </row>
    <row r="172" spans="1:22" s="5" customFormat="1" ht="57.75" hidden="1" customHeight="1" x14ac:dyDescent="0.25">
      <c r="A172" s="53"/>
      <c r="B172" s="37" t="s">
        <v>417</v>
      </c>
      <c r="C172" s="37"/>
      <c r="D172" s="37" t="s">
        <v>418</v>
      </c>
      <c r="E172" s="37"/>
      <c r="F172" s="37"/>
      <c r="G172" s="37"/>
      <c r="H172" s="37"/>
      <c r="I172" s="37"/>
      <c r="J172" s="37"/>
      <c r="K172" s="37"/>
      <c r="L172" s="37"/>
      <c r="M172" s="37"/>
      <c r="N172" s="37"/>
      <c r="O172" s="37"/>
      <c r="P172" s="37"/>
      <c r="Q172" s="37"/>
      <c r="R172" s="37"/>
      <c r="S172" s="37"/>
      <c r="T172" s="37"/>
      <c r="U172" s="37"/>
      <c r="V172" s="37"/>
    </row>
    <row r="173" spans="1:22" s="5" customFormat="1" ht="66" hidden="1" customHeight="1" x14ac:dyDescent="0.25">
      <c r="A173" s="53"/>
      <c r="B173" s="60" t="s">
        <v>419</v>
      </c>
      <c r="C173" s="60"/>
      <c r="D173" s="60" t="s">
        <v>420</v>
      </c>
      <c r="E173" s="60"/>
      <c r="F173" s="60"/>
      <c r="G173" s="60"/>
      <c r="H173" s="60"/>
      <c r="I173" s="60"/>
      <c r="J173" s="60"/>
      <c r="K173" s="60"/>
      <c r="L173" s="60"/>
      <c r="M173" s="127"/>
      <c r="N173" s="60"/>
      <c r="O173" s="60"/>
      <c r="P173" s="60"/>
      <c r="Q173" s="60"/>
      <c r="R173" s="60"/>
      <c r="S173" s="60"/>
      <c r="T173" s="60"/>
      <c r="U173" s="60"/>
      <c r="V173" s="60"/>
    </row>
    <row r="174" spans="1:22" s="5" customFormat="1" ht="102.75" hidden="1" customHeight="1" x14ac:dyDescent="0.25">
      <c r="A174" s="53"/>
      <c r="B174" s="54" t="s">
        <v>421</v>
      </c>
      <c r="C174" s="54" t="s">
        <v>741</v>
      </c>
      <c r="D174" s="89" t="s">
        <v>422</v>
      </c>
      <c r="E174" s="89" t="s">
        <v>503</v>
      </c>
      <c r="F174" s="89" t="s">
        <v>582</v>
      </c>
      <c r="G174" s="89" t="s">
        <v>504</v>
      </c>
      <c r="H174" s="89" t="s">
        <v>730</v>
      </c>
      <c r="I174" s="54" t="s">
        <v>460</v>
      </c>
      <c r="J174" s="54" t="s">
        <v>461</v>
      </c>
      <c r="K174" s="54" t="s">
        <v>47</v>
      </c>
      <c r="L174" s="54">
        <v>70588</v>
      </c>
      <c r="M174" s="62">
        <v>10588.2</v>
      </c>
      <c r="N174" s="54">
        <v>0</v>
      </c>
      <c r="O174" s="54">
        <v>0</v>
      </c>
      <c r="P174" s="54">
        <v>0</v>
      </c>
      <c r="Q174" s="62">
        <v>59999.8</v>
      </c>
      <c r="R174" s="54">
        <v>0</v>
      </c>
      <c r="S174" s="55" t="s">
        <v>486</v>
      </c>
      <c r="T174" s="55" t="s">
        <v>486</v>
      </c>
      <c r="U174" s="55" t="s">
        <v>514</v>
      </c>
      <c r="V174" s="55">
        <v>2018</v>
      </c>
    </row>
    <row r="175" spans="1:22" s="5" customFormat="1" ht="127.5" hidden="1" customHeight="1" x14ac:dyDescent="0.25">
      <c r="A175" s="53"/>
      <c r="B175" s="54" t="s">
        <v>739</v>
      </c>
      <c r="C175" s="54" t="s">
        <v>742</v>
      </c>
      <c r="D175" s="46" t="s">
        <v>731</v>
      </c>
      <c r="E175" s="46" t="s">
        <v>732</v>
      </c>
      <c r="F175" s="46" t="s">
        <v>582</v>
      </c>
      <c r="G175" s="46" t="s">
        <v>542</v>
      </c>
      <c r="H175" s="46" t="s">
        <v>730</v>
      </c>
      <c r="I175" s="54" t="s">
        <v>460</v>
      </c>
      <c r="J175" s="54" t="s">
        <v>461</v>
      </c>
      <c r="K175" s="54" t="s">
        <v>47</v>
      </c>
      <c r="L175" s="54">
        <v>589242.18000000005</v>
      </c>
      <c r="M175" s="54">
        <v>148249.18</v>
      </c>
      <c r="N175" s="54">
        <v>0</v>
      </c>
      <c r="O175" s="54">
        <v>0</v>
      </c>
      <c r="P175" s="54">
        <v>20993</v>
      </c>
      <c r="Q175" s="54">
        <v>420000</v>
      </c>
      <c r="R175" s="54">
        <v>0</v>
      </c>
      <c r="S175" s="55" t="s">
        <v>486</v>
      </c>
      <c r="T175" s="55" t="s">
        <v>493</v>
      </c>
      <c r="U175" s="55" t="s">
        <v>496</v>
      </c>
      <c r="V175" s="55">
        <v>2018</v>
      </c>
    </row>
    <row r="176" spans="1:22" s="5" customFormat="1" ht="93.75" hidden="1" customHeight="1" x14ac:dyDescent="0.25">
      <c r="A176" s="53"/>
      <c r="B176" s="54" t="s">
        <v>425</v>
      </c>
      <c r="C176" s="54" t="s">
        <v>743</v>
      </c>
      <c r="D176" s="89" t="s">
        <v>426</v>
      </c>
      <c r="E176" s="89" t="s">
        <v>471</v>
      </c>
      <c r="F176" s="89" t="s">
        <v>582</v>
      </c>
      <c r="G176" s="89" t="s">
        <v>472</v>
      </c>
      <c r="H176" s="89" t="s">
        <v>730</v>
      </c>
      <c r="I176" s="54" t="s">
        <v>460</v>
      </c>
      <c r="J176" s="54" t="s">
        <v>461</v>
      </c>
      <c r="K176" s="54" t="s">
        <v>47</v>
      </c>
      <c r="L176" s="54" t="s">
        <v>733</v>
      </c>
      <c r="M176" s="54">
        <v>39588.44</v>
      </c>
      <c r="N176" s="54">
        <v>0</v>
      </c>
      <c r="O176" s="54">
        <v>0</v>
      </c>
      <c r="P176" s="54">
        <v>0</v>
      </c>
      <c r="Q176" s="54">
        <v>224334.44</v>
      </c>
      <c r="R176" s="54">
        <v>0</v>
      </c>
      <c r="S176" s="55" t="s">
        <v>536</v>
      </c>
      <c r="T176" s="55" t="s">
        <v>486</v>
      </c>
      <c r="U176" s="55" t="s">
        <v>514</v>
      </c>
      <c r="V176" s="55">
        <v>2018</v>
      </c>
    </row>
    <row r="177" spans="1:22" s="5" customFormat="1" ht="164.25" hidden="1" customHeight="1" x14ac:dyDescent="0.25">
      <c r="A177" s="53"/>
      <c r="B177" s="54" t="s">
        <v>427</v>
      </c>
      <c r="C177" s="54" t="s">
        <v>744</v>
      </c>
      <c r="D177" s="46" t="s">
        <v>428</v>
      </c>
      <c r="E177" s="46" t="s">
        <v>734</v>
      </c>
      <c r="F177" s="46" t="s">
        <v>582</v>
      </c>
      <c r="G177" s="46" t="s">
        <v>546</v>
      </c>
      <c r="H177" s="46" t="s">
        <v>730</v>
      </c>
      <c r="I177" s="54" t="s">
        <v>460</v>
      </c>
      <c r="J177" s="54" t="s">
        <v>461</v>
      </c>
      <c r="K177" s="54" t="s">
        <v>47</v>
      </c>
      <c r="L177" s="54">
        <v>797588.28</v>
      </c>
      <c r="M177" s="54">
        <v>160734.60999999999</v>
      </c>
      <c r="N177" s="54">
        <v>0</v>
      </c>
      <c r="O177" s="54">
        <v>0</v>
      </c>
      <c r="P177" s="54">
        <v>0</v>
      </c>
      <c r="Q177" s="54">
        <v>636853.66999999993</v>
      </c>
      <c r="R177" s="54">
        <v>0</v>
      </c>
      <c r="S177" s="55" t="s">
        <v>498</v>
      </c>
      <c r="T177" s="55" t="s">
        <v>482</v>
      </c>
      <c r="U177" s="55" t="s">
        <v>499</v>
      </c>
      <c r="V177" s="55">
        <v>2018</v>
      </c>
    </row>
    <row r="178" spans="1:22" s="5" customFormat="1" ht="72.75" hidden="1" customHeight="1" x14ac:dyDescent="0.25">
      <c r="A178" s="53"/>
      <c r="B178" s="54" t="s">
        <v>740</v>
      </c>
      <c r="C178" s="54" t="s">
        <v>745</v>
      </c>
      <c r="D178" s="46" t="s">
        <v>430</v>
      </c>
      <c r="E178" s="46" t="s">
        <v>735</v>
      </c>
      <c r="F178" s="46" t="s">
        <v>582</v>
      </c>
      <c r="G178" s="46" t="s">
        <v>736</v>
      </c>
      <c r="H178" s="46" t="s">
        <v>730</v>
      </c>
      <c r="I178" s="54" t="s">
        <v>460</v>
      </c>
      <c r="J178" s="54" t="s">
        <v>461</v>
      </c>
      <c r="K178" s="54" t="s">
        <v>47</v>
      </c>
      <c r="L178" s="54">
        <v>4000000</v>
      </c>
      <c r="M178" s="54">
        <v>0</v>
      </c>
      <c r="N178" s="54">
        <v>600000</v>
      </c>
      <c r="O178" s="54">
        <v>0</v>
      </c>
      <c r="P178" s="54">
        <v>0</v>
      </c>
      <c r="Q178" s="54">
        <v>3400000</v>
      </c>
      <c r="R178" s="54">
        <v>0</v>
      </c>
      <c r="S178" s="55" t="s">
        <v>549</v>
      </c>
      <c r="T178" s="55" t="s">
        <v>562</v>
      </c>
      <c r="U178" s="55" t="s">
        <v>500</v>
      </c>
      <c r="V178" s="55">
        <v>2019</v>
      </c>
    </row>
    <row r="179" spans="1:22" s="5" customFormat="1" ht="69" hidden="1" customHeight="1" x14ac:dyDescent="0.25">
      <c r="A179" s="53"/>
      <c r="B179" s="54" t="s">
        <v>431</v>
      </c>
      <c r="C179" s="54" t="s">
        <v>746</v>
      </c>
      <c r="D179" s="46" t="s">
        <v>432</v>
      </c>
      <c r="E179" s="46" t="s">
        <v>737</v>
      </c>
      <c r="F179" s="46" t="s">
        <v>582</v>
      </c>
      <c r="G179" s="46" t="s">
        <v>511</v>
      </c>
      <c r="H179" s="46" t="s">
        <v>738</v>
      </c>
      <c r="I179" s="54" t="s">
        <v>460</v>
      </c>
      <c r="J179" s="54" t="s">
        <v>461</v>
      </c>
      <c r="K179" s="54" t="s">
        <v>47</v>
      </c>
      <c r="L179" s="54">
        <v>30195</v>
      </c>
      <c r="M179" s="54">
        <v>4530</v>
      </c>
      <c r="N179" s="54">
        <v>0</v>
      </c>
      <c r="O179" s="54">
        <v>0</v>
      </c>
      <c r="P179" s="54">
        <v>0</v>
      </c>
      <c r="Q179" s="54">
        <v>25665</v>
      </c>
      <c r="R179" s="54">
        <v>0</v>
      </c>
      <c r="S179" s="55" t="s">
        <v>500</v>
      </c>
      <c r="T179" s="55" t="s">
        <v>500</v>
      </c>
      <c r="U179" s="55" t="s">
        <v>500</v>
      </c>
      <c r="V179" s="55">
        <v>2018</v>
      </c>
    </row>
    <row r="180" spans="1:22" s="5" customFormat="1" ht="52.5" hidden="1" customHeight="1" x14ac:dyDescent="0.25">
      <c r="A180" s="53"/>
      <c r="B180" s="37" t="s">
        <v>433</v>
      </c>
      <c r="C180" s="37"/>
      <c r="D180" s="37" t="s">
        <v>434</v>
      </c>
      <c r="E180" s="37"/>
      <c r="F180" s="37"/>
      <c r="G180" s="37"/>
      <c r="H180" s="37"/>
      <c r="I180" s="37"/>
      <c r="J180" s="37"/>
      <c r="K180" s="37"/>
      <c r="L180" s="37"/>
      <c r="M180" s="37"/>
      <c r="N180" s="37"/>
      <c r="O180" s="37"/>
      <c r="P180" s="37"/>
      <c r="Q180" s="37"/>
      <c r="R180" s="37"/>
      <c r="S180" s="37"/>
      <c r="T180" s="37"/>
      <c r="U180" s="37"/>
      <c r="V180" s="37"/>
    </row>
    <row r="181" spans="1:22" s="5" customFormat="1" ht="76.5" hidden="1" customHeight="1" x14ac:dyDescent="0.25">
      <c r="A181" s="53"/>
      <c r="B181" s="60" t="s">
        <v>435</v>
      </c>
      <c r="C181" s="60"/>
      <c r="D181" s="60" t="s">
        <v>436</v>
      </c>
      <c r="E181" s="60"/>
      <c r="F181" s="60"/>
      <c r="G181" s="60"/>
      <c r="H181" s="60"/>
      <c r="I181" s="60"/>
      <c r="J181" s="60"/>
      <c r="K181" s="60"/>
      <c r="L181" s="60"/>
      <c r="M181" s="60"/>
      <c r="N181" s="60"/>
      <c r="O181" s="60"/>
      <c r="P181" s="60"/>
      <c r="Q181" s="60"/>
      <c r="R181" s="60"/>
      <c r="S181" s="60"/>
      <c r="T181" s="60"/>
      <c r="U181" s="60"/>
      <c r="V181" s="60"/>
    </row>
    <row r="182" spans="1:22" s="5" customFormat="1" ht="81" hidden="1" customHeight="1" x14ac:dyDescent="0.25">
      <c r="A182" s="53"/>
      <c r="B182" s="54" t="s">
        <v>437</v>
      </c>
      <c r="C182" s="54" t="s">
        <v>760</v>
      </c>
      <c r="D182" s="46" t="s">
        <v>438</v>
      </c>
      <c r="E182" s="46" t="s">
        <v>506</v>
      </c>
      <c r="F182" s="46" t="s">
        <v>457</v>
      </c>
      <c r="G182" s="46" t="s">
        <v>747</v>
      </c>
      <c r="H182" s="46" t="s">
        <v>748</v>
      </c>
      <c r="I182" s="54" t="s">
        <v>460</v>
      </c>
      <c r="J182" s="54" t="s">
        <v>47</v>
      </c>
      <c r="K182" s="54" t="s">
        <v>47</v>
      </c>
      <c r="L182" s="54">
        <v>188236</v>
      </c>
      <c r="M182" s="54">
        <v>28236</v>
      </c>
      <c r="N182" s="54">
        <v>0</v>
      </c>
      <c r="O182" s="54">
        <v>0</v>
      </c>
      <c r="P182" s="54">
        <v>0</v>
      </c>
      <c r="Q182" s="54">
        <v>160000</v>
      </c>
      <c r="R182" s="54">
        <v>0</v>
      </c>
      <c r="S182" s="55" t="s">
        <v>549</v>
      </c>
      <c r="T182" s="55" t="s">
        <v>562</v>
      </c>
      <c r="U182" s="55" t="s">
        <v>500</v>
      </c>
      <c r="V182" s="55">
        <v>2019</v>
      </c>
    </row>
    <row r="183" spans="1:22" s="5" customFormat="1" ht="80.25" hidden="1" customHeight="1" x14ac:dyDescent="0.25">
      <c r="A183" s="53"/>
      <c r="B183" s="54" t="s">
        <v>439</v>
      </c>
      <c r="C183" s="54" t="s">
        <v>761</v>
      </c>
      <c r="D183" s="46" t="s">
        <v>440</v>
      </c>
      <c r="E183" s="46" t="s">
        <v>471</v>
      </c>
      <c r="F183" s="46" t="s">
        <v>457</v>
      </c>
      <c r="G183" s="46" t="s">
        <v>472</v>
      </c>
      <c r="H183" s="46" t="s">
        <v>748</v>
      </c>
      <c r="I183" s="54" t="s">
        <v>460</v>
      </c>
      <c r="J183" s="54" t="s">
        <v>47</v>
      </c>
      <c r="K183" s="54" t="s">
        <v>47</v>
      </c>
      <c r="L183" s="54">
        <v>186665</v>
      </c>
      <c r="M183" s="54">
        <v>28000</v>
      </c>
      <c r="N183" s="54">
        <v>0</v>
      </c>
      <c r="O183" s="54">
        <v>0</v>
      </c>
      <c r="P183" s="54">
        <v>0</v>
      </c>
      <c r="Q183" s="54">
        <v>158665</v>
      </c>
      <c r="R183" s="54">
        <v>0</v>
      </c>
      <c r="S183" s="55" t="s">
        <v>549</v>
      </c>
      <c r="T183" s="55" t="s">
        <v>561</v>
      </c>
      <c r="U183" s="55" t="s">
        <v>478</v>
      </c>
      <c r="V183" s="55">
        <v>2019</v>
      </c>
    </row>
    <row r="184" spans="1:22" s="5" customFormat="1" ht="81" hidden="1" customHeight="1" x14ac:dyDescent="0.25">
      <c r="A184" s="53"/>
      <c r="B184" s="54" t="s">
        <v>757</v>
      </c>
      <c r="C184" s="54" t="s">
        <v>762</v>
      </c>
      <c r="D184" s="46" t="s">
        <v>442</v>
      </c>
      <c r="E184" s="46" t="s">
        <v>541</v>
      </c>
      <c r="F184" s="46" t="s">
        <v>457</v>
      </c>
      <c r="G184" s="46" t="s">
        <v>542</v>
      </c>
      <c r="H184" s="46" t="s">
        <v>748</v>
      </c>
      <c r="I184" s="54" t="s">
        <v>460</v>
      </c>
      <c r="J184" s="54" t="s">
        <v>47</v>
      </c>
      <c r="K184" s="54" t="s">
        <v>47</v>
      </c>
      <c r="L184" s="54">
        <v>223998</v>
      </c>
      <c r="M184" s="54">
        <v>33600</v>
      </c>
      <c r="N184" s="54">
        <v>0</v>
      </c>
      <c r="O184" s="54">
        <v>0</v>
      </c>
      <c r="P184" s="54">
        <v>0</v>
      </c>
      <c r="Q184" s="54">
        <v>190398</v>
      </c>
      <c r="R184" s="54">
        <v>0</v>
      </c>
      <c r="S184" s="55" t="s">
        <v>481</v>
      </c>
      <c r="T184" s="55" t="s">
        <v>562</v>
      </c>
      <c r="U184" s="55" t="s">
        <v>500</v>
      </c>
      <c r="V184" s="55">
        <v>2019</v>
      </c>
    </row>
    <row r="185" spans="1:22" s="5" customFormat="1" ht="92.25" hidden="1" customHeight="1" x14ac:dyDescent="0.25">
      <c r="A185" s="53"/>
      <c r="B185" s="54" t="s">
        <v>443</v>
      </c>
      <c r="C185" s="54" t="s">
        <v>763</v>
      </c>
      <c r="D185" s="46" t="s">
        <v>444</v>
      </c>
      <c r="E185" s="46" t="s">
        <v>749</v>
      </c>
      <c r="F185" s="46" t="s">
        <v>457</v>
      </c>
      <c r="G185" s="46" t="s">
        <v>511</v>
      </c>
      <c r="H185" s="46" t="s">
        <v>750</v>
      </c>
      <c r="I185" s="54" t="s">
        <v>460</v>
      </c>
      <c r="J185" s="54" t="s">
        <v>47</v>
      </c>
      <c r="K185" s="54" t="s">
        <v>47</v>
      </c>
      <c r="L185" s="54">
        <v>116665</v>
      </c>
      <c r="M185" s="54">
        <v>17500</v>
      </c>
      <c r="N185" s="54">
        <v>0</v>
      </c>
      <c r="O185" s="54">
        <v>0</v>
      </c>
      <c r="P185" s="54">
        <v>0</v>
      </c>
      <c r="Q185" s="54">
        <v>99165</v>
      </c>
      <c r="R185" s="54">
        <v>0</v>
      </c>
      <c r="S185" s="55" t="s">
        <v>500</v>
      </c>
      <c r="T185" s="55" t="s">
        <v>561</v>
      </c>
      <c r="U185" s="55" t="s">
        <v>492</v>
      </c>
      <c r="V185" s="55">
        <v>2019</v>
      </c>
    </row>
    <row r="186" spans="1:22" s="5" customFormat="1" ht="77.25" hidden="1" customHeight="1" x14ac:dyDescent="0.25">
      <c r="A186" s="53"/>
      <c r="B186" s="54" t="s">
        <v>758</v>
      </c>
      <c r="C186" s="54" t="s">
        <v>764</v>
      </c>
      <c r="D186" s="46" t="s">
        <v>446</v>
      </c>
      <c r="E186" s="46" t="s">
        <v>456</v>
      </c>
      <c r="F186" s="46" t="s">
        <v>457</v>
      </c>
      <c r="G186" s="46" t="s">
        <v>751</v>
      </c>
      <c r="H186" s="46" t="s">
        <v>750</v>
      </c>
      <c r="I186" s="54" t="s">
        <v>460</v>
      </c>
      <c r="J186" s="54" t="s">
        <v>47</v>
      </c>
      <c r="K186" s="54" t="s">
        <v>47</v>
      </c>
      <c r="L186" s="54">
        <v>176471</v>
      </c>
      <c r="M186" s="54">
        <v>26471</v>
      </c>
      <c r="N186" s="54">
        <v>0</v>
      </c>
      <c r="O186" s="54">
        <v>0</v>
      </c>
      <c r="P186" s="54">
        <v>0</v>
      </c>
      <c r="Q186" s="54">
        <v>150000</v>
      </c>
      <c r="R186" s="54">
        <v>0</v>
      </c>
      <c r="S186" s="55" t="s">
        <v>549</v>
      </c>
      <c r="T186" s="55" t="s">
        <v>752</v>
      </c>
      <c r="U186" s="55" t="s">
        <v>753</v>
      </c>
      <c r="V186" s="55">
        <v>2019</v>
      </c>
    </row>
    <row r="187" spans="1:22" s="87" customFormat="1" ht="81.75" hidden="1" customHeight="1" x14ac:dyDescent="0.25">
      <c r="A187" s="98"/>
      <c r="B187" s="54" t="s">
        <v>759</v>
      </c>
      <c r="C187" s="54" t="s">
        <v>765</v>
      </c>
      <c r="D187" s="89" t="s">
        <v>448</v>
      </c>
      <c r="E187" s="89" t="s">
        <v>503</v>
      </c>
      <c r="F187" s="89" t="s">
        <v>457</v>
      </c>
      <c r="G187" s="89" t="s">
        <v>534</v>
      </c>
      <c r="H187" s="89" t="s">
        <v>750</v>
      </c>
      <c r="I187" s="54" t="s">
        <v>460</v>
      </c>
      <c r="J187" s="54" t="s">
        <v>47</v>
      </c>
      <c r="K187" s="54" t="s">
        <v>47</v>
      </c>
      <c r="L187" s="54">
        <v>157956.47</v>
      </c>
      <c r="M187" s="54">
        <v>23693.47</v>
      </c>
      <c r="N187" s="54">
        <v>0</v>
      </c>
      <c r="O187" s="54">
        <v>0</v>
      </c>
      <c r="P187" s="54">
        <v>0</v>
      </c>
      <c r="Q187" s="54">
        <v>134263</v>
      </c>
      <c r="R187" s="54">
        <v>0</v>
      </c>
      <c r="S187" s="55" t="s">
        <v>562</v>
      </c>
      <c r="T187" s="55" t="s">
        <v>547</v>
      </c>
      <c r="U187" s="55" t="s">
        <v>488</v>
      </c>
      <c r="V187" s="55">
        <v>2021</v>
      </c>
    </row>
    <row r="188" spans="1:22" s="5" customFormat="1" ht="86.25" hidden="1" customHeight="1" x14ac:dyDescent="0.25">
      <c r="A188" s="53"/>
      <c r="B188" s="54" t="s">
        <v>449</v>
      </c>
      <c r="C188" s="54" t="s">
        <v>766</v>
      </c>
      <c r="D188" s="46" t="s">
        <v>450</v>
      </c>
      <c r="E188" s="46" t="s">
        <v>749</v>
      </c>
      <c r="F188" s="46" t="s">
        <v>457</v>
      </c>
      <c r="G188" s="46" t="s">
        <v>511</v>
      </c>
      <c r="H188" s="46" t="s">
        <v>750</v>
      </c>
      <c r="I188" s="54" t="s">
        <v>460</v>
      </c>
      <c r="J188" s="54" t="s">
        <v>47</v>
      </c>
      <c r="K188" s="54" t="s">
        <v>47</v>
      </c>
      <c r="L188" s="54">
        <v>70000</v>
      </c>
      <c r="M188" s="54">
        <v>10500</v>
      </c>
      <c r="N188" s="54">
        <v>0</v>
      </c>
      <c r="O188" s="54">
        <v>0</v>
      </c>
      <c r="P188" s="54">
        <v>0</v>
      </c>
      <c r="Q188" s="54">
        <v>59500</v>
      </c>
      <c r="R188" s="54">
        <v>0</v>
      </c>
      <c r="S188" s="55" t="s">
        <v>754</v>
      </c>
      <c r="T188" s="55" t="s">
        <v>755</v>
      </c>
      <c r="U188" s="55" t="s">
        <v>756</v>
      </c>
      <c r="V188" s="55">
        <v>2020</v>
      </c>
    </row>
    <row r="189" spans="1:22" hidden="1" x14ac:dyDescent="0.25">
      <c r="A189" s="53"/>
      <c r="B189" s="128" t="s">
        <v>146</v>
      </c>
      <c r="C189" s="53"/>
      <c r="D189" s="53"/>
      <c r="E189" s="53"/>
      <c r="F189" s="53"/>
      <c r="G189" s="53"/>
      <c r="H189" s="53"/>
      <c r="I189" s="53"/>
      <c r="J189" s="53"/>
      <c r="K189" s="53"/>
      <c r="L189" s="53"/>
      <c r="M189" s="53"/>
      <c r="N189" s="53"/>
      <c r="O189" s="53"/>
      <c r="P189" s="53"/>
      <c r="Q189" s="53"/>
      <c r="R189" s="53"/>
      <c r="S189" s="53"/>
      <c r="T189" s="53"/>
      <c r="U189" s="53"/>
      <c r="V189" s="53"/>
    </row>
    <row r="190" spans="1:22" hidden="1" x14ac:dyDescent="0.25">
      <c r="A190" s="53"/>
      <c r="B190" s="128" t="s">
        <v>55</v>
      </c>
      <c r="C190" s="53"/>
      <c r="D190" s="53"/>
      <c r="E190" s="53"/>
      <c r="F190" s="53"/>
      <c r="G190" s="53"/>
      <c r="H190" s="53"/>
      <c r="I190" s="53"/>
      <c r="J190" s="53"/>
      <c r="K190" s="53"/>
      <c r="L190" s="53"/>
      <c r="M190" s="53"/>
      <c r="N190" s="53"/>
      <c r="O190" s="53"/>
      <c r="P190" s="53"/>
      <c r="Q190" s="53"/>
      <c r="R190" s="53"/>
      <c r="S190" s="53"/>
      <c r="T190" s="53"/>
      <c r="U190" s="53"/>
      <c r="V190" s="53"/>
    </row>
    <row r="191" spans="1:22" hidden="1" x14ac:dyDescent="0.25">
      <c r="A191" s="53"/>
      <c r="B191" s="128" t="s">
        <v>56</v>
      </c>
      <c r="C191" s="53"/>
      <c r="D191" s="53"/>
      <c r="E191" s="53"/>
      <c r="F191" s="53"/>
      <c r="G191" s="53"/>
      <c r="H191" s="53"/>
      <c r="I191" s="53"/>
      <c r="J191" s="53"/>
      <c r="K191" s="53"/>
      <c r="L191" s="53"/>
      <c r="M191" s="53"/>
      <c r="N191" s="53"/>
      <c r="O191" s="53"/>
      <c r="P191" s="53"/>
      <c r="Q191" s="53"/>
      <c r="R191" s="53"/>
      <c r="S191" s="53"/>
      <c r="T191" s="53"/>
      <c r="U191" s="53"/>
      <c r="V191" s="53"/>
    </row>
    <row r="192" spans="1:22" ht="45.75" hidden="1" customHeight="1" x14ac:dyDescent="0.25">
      <c r="A192" s="53"/>
      <c r="B192" s="169" t="s">
        <v>141</v>
      </c>
      <c r="C192" s="169"/>
      <c r="D192" s="169"/>
      <c r="E192" s="169"/>
      <c r="F192" s="169"/>
      <c r="G192" s="169"/>
      <c r="H192" s="169"/>
      <c r="I192" s="169"/>
      <c r="J192" s="169"/>
      <c r="K192" s="169"/>
      <c r="L192" s="169"/>
      <c r="M192" s="169"/>
      <c r="N192" s="169"/>
      <c r="O192" s="169"/>
      <c r="P192" s="169"/>
      <c r="Q192" s="169"/>
      <c r="R192" s="169"/>
      <c r="S192" s="169"/>
      <c r="T192" s="169"/>
      <c r="U192" s="169"/>
      <c r="V192" s="169"/>
    </row>
    <row r="193" hidden="1" x14ac:dyDescent="0.25"/>
    <row r="201" ht="28.5" customHeight="1" x14ac:dyDescent="0.25"/>
  </sheetData>
  <autoFilter ref="A6:V192"/>
  <mergeCells count="7">
    <mergeCell ref="B192:V192"/>
    <mergeCell ref="B5:K5"/>
    <mergeCell ref="L5:R5"/>
    <mergeCell ref="S5:V5"/>
    <mergeCell ref="S1:U1"/>
    <mergeCell ref="S2:U2"/>
    <mergeCell ref="S3:U3"/>
  </mergeCells>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2"/>
  <sheetViews>
    <sheetView zoomScale="90" zoomScaleNormal="90" workbookViewId="0">
      <pane ySplit="1" topLeftCell="A45" activePane="bottomLeft" state="frozen"/>
      <selection pane="bottomLeft" activeCell="K50" sqref="K50"/>
    </sheetView>
  </sheetViews>
  <sheetFormatPr defaultRowHeight="15" x14ac:dyDescent="0.25"/>
  <cols>
    <col min="1" max="1" width="4.42578125" style="53" customWidth="1"/>
    <col min="2" max="2" width="9.140625" style="53"/>
    <col min="3" max="3" width="10.42578125" style="53" customWidth="1"/>
    <col min="4" max="4" width="17" style="53" customWidth="1"/>
    <col min="5" max="5" width="11.5703125" style="53" customWidth="1"/>
    <col min="6" max="6" width="11.42578125" style="53" customWidth="1"/>
    <col min="7" max="7" width="11.5703125" style="53" customWidth="1"/>
    <col min="8" max="8" width="12.5703125" style="53" customWidth="1"/>
    <col min="9" max="12" width="9.140625" style="53"/>
    <col min="13" max="13" width="15.5703125" style="53" customWidth="1"/>
    <col min="14" max="15" width="9.140625" style="53"/>
    <col min="16" max="16" width="12.7109375" style="53" customWidth="1"/>
    <col min="17" max="18" width="9.140625" style="53"/>
    <col min="19" max="19" width="12.5703125" style="53" customWidth="1"/>
    <col min="20" max="21" width="9.140625" style="53"/>
    <col min="22" max="22" width="12.28515625" style="53" customWidth="1"/>
    <col min="23" max="23" width="9.140625" style="53"/>
    <col min="24" max="24" width="9.140625" style="53" hidden="1" customWidth="1"/>
    <col min="25" max="25" width="14.7109375" style="53" hidden="1" customWidth="1"/>
    <col min="26" max="30" width="9.140625" style="53" hidden="1" customWidth="1"/>
    <col min="31" max="31" width="12.85546875" style="53" hidden="1" customWidth="1"/>
    <col min="32" max="16384" width="9.140625" style="53"/>
  </cols>
  <sheetData>
    <row r="1" spans="2:31" ht="15.75" x14ac:dyDescent="0.25">
      <c r="T1" s="174" t="s">
        <v>140</v>
      </c>
      <c r="U1" s="174"/>
      <c r="V1" s="174"/>
      <c r="W1" s="174"/>
    </row>
    <row r="2" spans="2:31" ht="15.75" x14ac:dyDescent="0.25">
      <c r="T2" s="175" t="s">
        <v>24</v>
      </c>
      <c r="U2" s="175"/>
      <c r="V2" s="175"/>
      <c r="W2" s="175"/>
    </row>
    <row r="3" spans="2:31" ht="15.75" x14ac:dyDescent="0.25">
      <c r="T3" s="175" t="s">
        <v>25</v>
      </c>
      <c r="U3" s="175"/>
      <c r="V3" s="175"/>
      <c r="W3" s="175"/>
    </row>
    <row r="5" spans="2:31" ht="15.75" x14ac:dyDescent="0.25">
      <c r="B5" s="64" t="s">
        <v>1057</v>
      </c>
    </row>
    <row r="6" spans="2:31" x14ac:dyDescent="0.25">
      <c r="B6" s="177" t="s">
        <v>27</v>
      </c>
      <c r="C6" s="177"/>
      <c r="D6" s="177"/>
      <c r="E6" s="177"/>
      <c r="F6" s="177"/>
      <c r="G6" s="177"/>
      <c r="H6" s="177"/>
      <c r="I6" s="177"/>
      <c r="J6" s="177"/>
      <c r="K6" s="177"/>
      <c r="L6" s="177" t="s">
        <v>57</v>
      </c>
      <c r="M6" s="177"/>
      <c r="N6" s="177"/>
      <c r="O6" s="177"/>
      <c r="P6" s="177"/>
      <c r="Q6" s="177"/>
      <c r="R6" s="177"/>
      <c r="S6" s="177"/>
      <c r="T6" s="177"/>
      <c r="U6" s="177"/>
      <c r="V6" s="177"/>
      <c r="W6" s="177"/>
    </row>
    <row r="7" spans="2:31" ht="56.25" customHeight="1" x14ac:dyDescent="0.25">
      <c r="B7" s="176" t="s">
        <v>10</v>
      </c>
      <c r="C7" s="176" t="s">
        <v>136</v>
      </c>
      <c r="D7" s="176" t="s">
        <v>30</v>
      </c>
      <c r="E7" s="176" t="s">
        <v>145</v>
      </c>
      <c r="F7" s="176" t="s">
        <v>31</v>
      </c>
      <c r="G7" s="176" t="s">
        <v>32</v>
      </c>
      <c r="H7" s="178" t="s">
        <v>33</v>
      </c>
      <c r="I7" s="176" t="s">
        <v>147</v>
      </c>
      <c r="J7" s="176" t="s">
        <v>142</v>
      </c>
      <c r="K7" s="176" t="s">
        <v>58</v>
      </c>
      <c r="L7" s="176" t="s">
        <v>59</v>
      </c>
      <c r="M7" s="176" t="s">
        <v>60</v>
      </c>
      <c r="N7" s="176" t="s">
        <v>61</v>
      </c>
      <c r="O7" s="176" t="s">
        <v>62</v>
      </c>
      <c r="P7" s="176" t="s">
        <v>68</v>
      </c>
      <c r="Q7" s="176" t="s">
        <v>63</v>
      </c>
      <c r="R7" s="176" t="s">
        <v>64</v>
      </c>
      <c r="S7" s="176" t="s">
        <v>68</v>
      </c>
      <c r="T7" s="176" t="s">
        <v>65</v>
      </c>
      <c r="U7" s="176" t="s">
        <v>66</v>
      </c>
      <c r="V7" s="176" t="s">
        <v>68</v>
      </c>
      <c r="W7" s="176" t="s">
        <v>67</v>
      </c>
    </row>
    <row r="8" spans="2:31" ht="32.25" customHeight="1" x14ac:dyDescent="0.25">
      <c r="B8" s="176"/>
      <c r="C8" s="176"/>
      <c r="D8" s="176"/>
      <c r="E8" s="176"/>
      <c r="F8" s="176"/>
      <c r="G8" s="176"/>
      <c r="H8" s="178"/>
      <c r="I8" s="176"/>
      <c r="J8" s="176"/>
      <c r="K8" s="176"/>
      <c r="L8" s="176"/>
      <c r="M8" s="176"/>
      <c r="N8" s="176"/>
      <c r="O8" s="176"/>
      <c r="P8" s="176"/>
      <c r="Q8" s="176"/>
      <c r="R8" s="176"/>
      <c r="S8" s="176"/>
      <c r="T8" s="176"/>
      <c r="U8" s="176"/>
      <c r="V8" s="176"/>
      <c r="W8" s="176"/>
    </row>
    <row r="9" spans="2:31" ht="38.25" hidden="1" x14ac:dyDescent="0.25">
      <c r="B9" s="81" t="s">
        <v>14</v>
      </c>
      <c r="C9" s="81"/>
      <c r="D9" s="81" t="s">
        <v>949</v>
      </c>
      <c r="E9" s="134"/>
      <c r="F9" s="135"/>
      <c r="G9" s="135"/>
      <c r="H9" s="135"/>
      <c r="I9" s="135"/>
      <c r="J9" s="135"/>
      <c r="K9" s="135"/>
      <c r="L9" s="135"/>
      <c r="M9" s="135"/>
      <c r="N9" s="135"/>
      <c r="O9" s="135"/>
      <c r="P9" s="135"/>
      <c r="Q9" s="135"/>
      <c r="R9" s="135"/>
      <c r="S9" s="135"/>
      <c r="T9" s="135"/>
      <c r="U9" s="80"/>
      <c r="V9" s="80"/>
      <c r="W9" s="135"/>
    </row>
    <row r="10" spans="2:31" ht="169.5" hidden="1" customHeight="1" x14ac:dyDescent="0.25">
      <c r="B10" s="78" t="s">
        <v>46</v>
      </c>
      <c r="C10" s="79"/>
      <c r="D10" s="78" t="s">
        <v>148</v>
      </c>
      <c r="E10" s="78"/>
      <c r="F10" s="79"/>
      <c r="G10" s="78"/>
      <c r="H10" s="78"/>
      <c r="I10" s="79"/>
      <c r="J10" s="78"/>
      <c r="K10" s="78"/>
      <c r="L10" s="79"/>
      <c r="M10" s="78"/>
      <c r="N10" s="78"/>
      <c r="O10" s="79"/>
      <c r="P10" s="78"/>
      <c r="Q10" s="78"/>
      <c r="R10" s="79"/>
      <c r="S10" s="78"/>
      <c r="T10" s="78"/>
      <c r="U10" s="79"/>
      <c r="V10" s="78"/>
      <c r="W10" s="78"/>
    </row>
    <row r="11" spans="2:31" ht="108" hidden="1" customHeight="1" x14ac:dyDescent="0.25">
      <c r="B11" s="117" t="s">
        <v>48</v>
      </c>
      <c r="C11" s="37"/>
      <c r="D11" s="37" t="s">
        <v>149</v>
      </c>
      <c r="E11" s="37"/>
      <c r="F11" s="117"/>
      <c r="G11" s="37"/>
      <c r="H11" s="37"/>
      <c r="I11" s="37"/>
      <c r="J11" s="117"/>
      <c r="K11" s="37"/>
      <c r="L11" s="37"/>
      <c r="M11" s="37"/>
      <c r="N11" s="117"/>
      <c r="O11" s="37"/>
      <c r="P11" s="37"/>
      <c r="Q11" s="37"/>
      <c r="R11" s="117"/>
      <c r="S11" s="37"/>
      <c r="T11" s="37"/>
      <c r="U11" s="37"/>
      <c r="V11" s="117"/>
      <c r="W11" s="37"/>
    </row>
    <row r="12" spans="2:31" ht="26.25" hidden="1" customHeight="1" x14ac:dyDescent="0.25">
      <c r="B12" s="60" t="s">
        <v>49</v>
      </c>
      <c r="C12" s="60"/>
      <c r="D12" s="60" t="s">
        <v>451</v>
      </c>
      <c r="E12" s="60"/>
      <c r="F12" s="60"/>
      <c r="G12" s="60"/>
      <c r="H12" s="60"/>
      <c r="I12" s="60"/>
      <c r="J12" s="60"/>
      <c r="K12" s="60"/>
      <c r="L12" s="60"/>
      <c r="M12" s="60"/>
      <c r="N12" s="60"/>
      <c r="O12" s="60"/>
      <c r="P12" s="60"/>
      <c r="Q12" s="60"/>
      <c r="R12" s="60"/>
      <c r="S12" s="60"/>
      <c r="T12" s="60"/>
      <c r="U12" s="60"/>
      <c r="V12" s="60"/>
      <c r="W12" s="60"/>
      <c r="Z12" s="82" t="s">
        <v>931</v>
      </c>
      <c r="AA12" s="82" t="s">
        <v>932</v>
      </c>
      <c r="AB12" s="82" t="s">
        <v>933</v>
      </c>
      <c r="AC12" s="136" t="s">
        <v>934</v>
      </c>
      <c r="AD12" s="136" t="s">
        <v>509</v>
      </c>
      <c r="AE12" s="136" t="s">
        <v>935</v>
      </c>
    </row>
    <row r="13" spans="2:31" ht="64.5" hidden="1" customHeight="1" x14ac:dyDescent="0.25">
      <c r="B13" s="59" t="s">
        <v>50</v>
      </c>
      <c r="C13" s="59" t="s">
        <v>520</v>
      </c>
      <c r="D13" s="59" t="s">
        <v>151</v>
      </c>
      <c r="E13" s="47" t="s">
        <v>456</v>
      </c>
      <c r="F13" s="46" t="s">
        <v>457</v>
      </c>
      <c r="G13" s="46" t="s">
        <v>458</v>
      </c>
      <c r="H13" s="46" t="s">
        <v>459</v>
      </c>
      <c r="I13" s="46" t="s">
        <v>460</v>
      </c>
      <c r="J13" s="46" t="s">
        <v>461</v>
      </c>
      <c r="K13" s="46" t="s">
        <v>47</v>
      </c>
      <c r="L13" s="46" t="s">
        <v>767</v>
      </c>
      <c r="M13" s="46" t="s">
        <v>768</v>
      </c>
      <c r="N13" s="46">
        <v>5500</v>
      </c>
      <c r="O13" s="46" t="s">
        <v>769</v>
      </c>
      <c r="P13" s="46" t="s">
        <v>770</v>
      </c>
      <c r="Q13" s="46">
        <v>840</v>
      </c>
      <c r="R13" s="46"/>
      <c r="S13" s="46"/>
      <c r="T13" s="46"/>
      <c r="U13" s="59"/>
      <c r="V13" s="59"/>
      <c r="W13" s="46"/>
      <c r="Y13" s="53" t="s">
        <v>767</v>
      </c>
      <c r="Z13" s="53">
        <f>SUMIF(L:L,"P.B.238",N:N)</f>
        <v>847838.6</v>
      </c>
      <c r="AA13" s="53">
        <f>SUMIF(O:O,"P.B.238",Q:Q)</f>
        <v>0</v>
      </c>
      <c r="AB13" s="53">
        <f>SUMIF(R:R,"P.B.238",T:T)</f>
        <v>0</v>
      </c>
      <c r="AC13" s="53">
        <f>SUMIF(U:U,"P.B.238",W:W)</f>
        <v>0</v>
      </c>
      <c r="AD13" s="53">
        <f>SUMIF(X:X,"P.B.238",Z:Z)</f>
        <v>0</v>
      </c>
      <c r="AE13" s="137">
        <f>Z13+AA13+AB13+AC13+AD13</f>
        <v>847838.6</v>
      </c>
    </row>
    <row r="14" spans="2:31" ht="63.75" hidden="1" customHeight="1" x14ac:dyDescent="0.25">
      <c r="B14" s="59" t="s">
        <v>51</v>
      </c>
      <c r="C14" s="59" t="s">
        <v>521</v>
      </c>
      <c r="D14" s="59" t="s">
        <v>462</v>
      </c>
      <c r="E14" s="47" t="s">
        <v>456</v>
      </c>
      <c r="F14" s="46" t="s">
        <v>457</v>
      </c>
      <c r="G14" s="46" t="s">
        <v>463</v>
      </c>
      <c r="H14" s="46" t="s">
        <v>459</v>
      </c>
      <c r="I14" s="46" t="s">
        <v>460</v>
      </c>
      <c r="J14" s="46" t="s">
        <v>461</v>
      </c>
      <c r="K14" s="46" t="s">
        <v>47</v>
      </c>
      <c r="L14" s="46" t="s">
        <v>767</v>
      </c>
      <c r="M14" s="46" t="s">
        <v>768</v>
      </c>
      <c r="N14" s="46">
        <v>5300</v>
      </c>
      <c r="O14" s="46"/>
      <c r="P14" s="46"/>
      <c r="Q14" s="46"/>
      <c r="R14" s="46"/>
      <c r="S14" s="46"/>
      <c r="T14" s="46"/>
      <c r="U14" s="59"/>
      <c r="V14" s="59"/>
      <c r="W14" s="46"/>
      <c r="Y14" s="53" t="s">
        <v>845</v>
      </c>
      <c r="Z14" s="53">
        <f>SUMIF(L:L,"P.B.235",N:N)</f>
        <v>0</v>
      </c>
      <c r="AA14" s="53">
        <f>SUMIF(O:O,"P.B.235",Q:Q)</f>
        <v>2006</v>
      </c>
      <c r="AB14" s="53">
        <f>SUMIF(R:R,"P.B.235",T:T)</f>
        <v>305</v>
      </c>
      <c r="AC14" s="53">
        <f>SUMIF(U:U,"P.B.235",W:W)</f>
        <v>0</v>
      </c>
      <c r="AD14" s="53">
        <f>SUMIF(X:X,"P.B.235",Z:Z)</f>
        <v>0</v>
      </c>
      <c r="AE14" s="137">
        <f>Z14+AA14+AB14+AC14+AD14</f>
        <v>2311</v>
      </c>
    </row>
    <row r="15" spans="2:31" ht="63.75" hidden="1" customHeight="1" x14ac:dyDescent="0.25">
      <c r="B15" s="59" t="s">
        <v>153</v>
      </c>
      <c r="C15" s="59" t="s">
        <v>522</v>
      </c>
      <c r="D15" s="59" t="s">
        <v>154</v>
      </c>
      <c r="E15" s="47" t="s">
        <v>456</v>
      </c>
      <c r="F15" s="46" t="s">
        <v>457</v>
      </c>
      <c r="G15" s="46" t="s">
        <v>463</v>
      </c>
      <c r="H15" s="46" t="s">
        <v>459</v>
      </c>
      <c r="I15" s="46" t="s">
        <v>460</v>
      </c>
      <c r="J15" s="46" t="s">
        <v>461</v>
      </c>
      <c r="K15" s="46" t="s">
        <v>47</v>
      </c>
      <c r="L15" s="46" t="s">
        <v>767</v>
      </c>
      <c r="M15" s="46" t="s">
        <v>768</v>
      </c>
      <c r="N15" s="46">
        <v>98869</v>
      </c>
      <c r="O15" s="46"/>
      <c r="P15" s="46"/>
      <c r="Q15" s="46"/>
      <c r="R15" s="46"/>
      <c r="S15" s="46"/>
      <c r="T15" s="46"/>
      <c r="U15" s="59"/>
      <c r="V15" s="59"/>
      <c r="W15" s="46"/>
      <c r="Y15" s="53" t="s">
        <v>800</v>
      </c>
      <c r="Z15" s="53">
        <f>SUMIF(L:L,"P.B.209",N:N)</f>
        <v>0</v>
      </c>
      <c r="AA15" s="53">
        <f>SUMIF(O:O,"P.B.209",Q:Q)</f>
        <v>3870</v>
      </c>
      <c r="AB15" s="53">
        <f>SUMIF(R:R,"P.B.209",T:T)</f>
        <v>0</v>
      </c>
      <c r="AC15" s="53">
        <f>SUMIF(U:U,"P.B.209",W:W)</f>
        <v>0</v>
      </c>
      <c r="AD15" s="53">
        <f>SUMIF(X:X,"P.B.209",Z:Z)</f>
        <v>0</v>
      </c>
      <c r="AE15" s="137">
        <f t="shared" ref="AE15:AE17" si="0">Z15+AA15+AB15+AC15+AD15</f>
        <v>3870</v>
      </c>
    </row>
    <row r="16" spans="2:31" ht="67.5" hidden="1" customHeight="1" x14ac:dyDescent="0.25">
      <c r="B16" s="59" t="s">
        <v>452</v>
      </c>
      <c r="C16" s="59" t="s">
        <v>523</v>
      </c>
      <c r="D16" s="59" t="s">
        <v>464</v>
      </c>
      <c r="E16" s="47" t="s">
        <v>465</v>
      </c>
      <c r="F16" s="46" t="s">
        <v>466</v>
      </c>
      <c r="G16" s="46" t="s">
        <v>467</v>
      </c>
      <c r="H16" s="46" t="s">
        <v>459</v>
      </c>
      <c r="I16" s="46" t="s">
        <v>468</v>
      </c>
      <c r="J16" s="46" t="s">
        <v>469</v>
      </c>
      <c r="K16" s="46" t="s">
        <v>470</v>
      </c>
      <c r="L16" s="46" t="s">
        <v>767</v>
      </c>
      <c r="M16" s="46" t="s">
        <v>768</v>
      </c>
      <c r="N16" s="46">
        <v>22620.5</v>
      </c>
      <c r="O16" s="46"/>
      <c r="P16" s="46"/>
      <c r="Q16" s="46"/>
      <c r="R16" s="46"/>
      <c r="S16" s="46"/>
      <c r="T16" s="46"/>
      <c r="U16" s="59"/>
      <c r="V16" s="59"/>
      <c r="W16" s="46"/>
      <c r="Y16" s="53" t="s">
        <v>783</v>
      </c>
      <c r="Z16" s="53">
        <f>SUMIF(L:L,"P.B.214",N:N)</f>
        <v>6.7720000000000002</v>
      </c>
      <c r="AA16" s="53">
        <f>SUMIF(O:O,"P.B.214",Q:Q)</f>
        <v>0</v>
      </c>
      <c r="AB16" s="53">
        <f>SUMIF(R:R,"P.B.214",T:T)</f>
        <v>0</v>
      </c>
      <c r="AC16" s="53">
        <f>SUMIF(U:U,"P.B.214",W:W)</f>
        <v>0</v>
      </c>
      <c r="AD16" s="53">
        <f>SUMIF(X:X,"P.B.214",Z:Z)</f>
        <v>0</v>
      </c>
      <c r="AE16" s="138">
        <f t="shared" si="0"/>
        <v>6.7720000000000002</v>
      </c>
    </row>
    <row r="17" spans="2:31" ht="79.5" hidden="1" customHeight="1" x14ac:dyDescent="0.25">
      <c r="B17" s="59" t="s">
        <v>157</v>
      </c>
      <c r="C17" s="59" t="s">
        <v>524</v>
      </c>
      <c r="D17" s="59" t="s">
        <v>158</v>
      </c>
      <c r="E17" s="47" t="s">
        <v>471</v>
      </c>
      <c r="F17" s="46" t="s">
        <v>457</v>
      </c>
      <c r="G17" s="46" t="s">
        <v>472</v>
      </c>
      <c r="H17" s="46" t="s">
        <v>459</v>
      </c>
      <c r="I17" s="46" t="s">
        <v>460</v>
      </c>
      <c r="J17" s="46" t="s">
        <v>461</v>
      </c>
      <c r="K17" s="46" t="s">
        <v>47</v>
      </c>
      <c r="L17" s="46" t="s">
        <v>767</v>
      </c>
      <c r="M17" s="46" t="s">
        <v>771</v>
      </c>
      <c r="N17" s="46">
        <v>101439</v>
      </c>
      <c r="O17" s="46"/>
      <c r="P17" s="46"/>
      <c r="Q17" s="46"/>
      <c r="R17" s="46"/>
      <c r="S17" s="46"/>
      <c r="T17" s="46"/>
      <c r="U17" s="59"/>
      <c r="V17" s="59"/>
      <c r="W17" s="46"/>
      <c r="Y17" s="53" t="s">
        <v>845</v>
      </c>
      <c r="Z17" s="53">
        <f>SUMIF(L:L,"P.B.235",N:N)</f>
        <v>0</v>
      </c>
      <c r="AA17" s="53">
        <f>SUMIF(O:O,"P.B.235",Q:Q)</f>
        <v>2006</v>
      </c>
      <c r="AB17" s="53">
        <f>SUMIF(R:R,"P.B.235",T:T)</f>
        <v>305</v>
      </c>
      <c r="AC17" s="53">
        <f>SUMIF(U:U,"P.B.235",W:W)</f>
        <v>0</v>
      </c>
      <c r="AD17" s="53">
        <f>SUMIF(X:X,"P.B.214",Z:Z)</f>
        <v>0</v>
      </c>
      <c r="AE17" s="137">
        <f t="shared" si="0"/>
        <v>2311</v>
      </c>
    </row>
    <row r="18" spans="2:31" ht="62.25" hidden="1" customHeight="1" x14ac:dyDescent="0.25">
      <c r="B18" s="59" t="s">
        <v>159</v>
      </c>
      <c r="C18" s="59" t="s">
        <v>525</v>
      </c>
      <c r="D18" s="59" t="s">
        <v>473</v>
      </c>
      <c r="E18" s="47" t="s">
        <v>471</v>
      </c>
      <c r="F18" s="46" t="s">
        <v>457</v>
      </c>
      <c r="G18" s="46" t="s">
        <v>472</v>
      </c>
      <c r="H18" s="46" t="s">
        <v>459</v>
      </c>
      <c r="I18" s="46" t="s">
        <v>460</v>
      </c>
      <c r="J18" s="46" t="s">
        <v>461</v>
      </c>
      <c r="K18" s="46" t="s">
        <v>47</v>
      </c>
      <c r="L18" s="46" t="s">
        <v>767</v>
      </c>
      <c r="M18" s="46" t="s">
        <v>771</v>
      </c>
      <c r="N18" s="46">
        <v>4000</v>
      </c>
      <c r="O18" s="46"/>
      <c r="P18" s="46"/>
      <c r="Q18" s="46"/>
      <c r="R18" s="46"/>
      <c r="S18" s="46"/>
      <c r="T18" s="46"/>
      <c r="U18" s="59"/>
      <c r="V18" s="59"/>
      <c r="W18" s="46"/>
      <c r="Y18" s="53" t="s">
        <v>769</v>
      </c>
      <c r="Z18" s="53">
        <f>SUMIF(L:L,"P.B.239",N:N)</f>
        <v>0</v>
      </c>
      <c r="AA18" s="53">
        <f>SUMIF(O:O,"P.B.239",Q:Q)</f>
        <v>2140</v>
      </c>
      <c r="AB18" s="53">
        <f>SUMIF(R:R,"P.B.239",T:T)</f>
        <v>0</v>
      </c>
      <c r="AC18" s="53">
        <f>SUMIF(U:U,"P.B.239",W:W)</f>
        <v>0</v>
      </c>
      <c r="AD18" s="53">
        <f>SUMIF(X:X,"P.B.239",Z:Z)</f>
        <v>0</v>
      </c>
      <c r="AE18" s="137">
        <f t="shared" ref="AE18" si="1">Z18+AA18+AB18+AC18+AD18</f>
        <v>2140</v>
      </c>
    </row>
    <row r="19" spans="2:31" s="98" customFormat="1" ht="78" hidden="1" customHeight="1" x14ac:dyDescent="0.25">
      <c r="B19" s="54" t="s">
        <v>161</v>
      </c>
      <c r="C19" s="54" t="s">
        <v>526</v>
      </c>
      <c r="D19" s="54" t="s">
        <v>162</v>
      </c>
      <c r="E19" s="97" t="s">
        <v>474</v>
      </c>
      <c r="F19" s="89" t="s">
        <v>466</v>
      </c>
      <c r="G19" s="89" t="s">
        <v>475</v>
      </c>
      <c r="H19" s="89" t="s">
        <v>459</v>
      </c>
      <c r="I19" s="89" t="s">
        <v>468</v>
      </c>
      <c r="J19" s="89" t="s">
        <v>469</v>
      </c>
      <c r="K19" s="89" t="s">
        <v>470</v>
      </c>
      <c r="L19" s="89" t="s">
        <v>767</v>
      </c>
      <c r="M19" s="89" t="s">
        <v>768</v>
      </c>
      <c r="N19" s="89">
        <v>1050</v>
      </c>
      <c r="O19" s="89" t="s">
        <v>769</v>
      </c>
      <c r="P19" s="89" t="s">
        <v>770</v>
      </c>
      <c r="Q19" s="89">
        <v>500</v>
      </c>
      <c r="R19" s="89"/>
      <c r="S19" s="89"/>
      <c r="T19" s="89"/>
      <c r="U19" s="54"/>
      <c r="V19" s="54"/>
      <c r="W19" s="89"/>
      <c r="Y19" s="98" t="s">
        <v>821</v>
      </c>
      <c r="Z19" s="98">
        <f>SUMIF(L:L,"P.N.028",N:N)</f>
        <v>0</v>
      </c>
      <c r="AA19" s="98">
        <f>SUMIF(O:O,"P.N.028",Q:Q)</f>
        <v>20.25</v>
      </c>
      <c r="AB19" s="98">
        <f>SUMIF(R:R,"P.N.028",T:T)</f>
        <v>0</v>
      </c>
      <c r="AC19" s="98">
        <f>SUMIF(U:U,"P.N.028",W:W)</f>
        <v>0</v>
      </c>
      <c r="AD19" s="98">
        <f>SUMIF(X:X,"P.N.028",Z:Z)</f>
        <v>0</v>
      </c>
      <c r="AE19" s="139">
        <f t="shared" ref="AE19" si="2">Z19+AA19+AB19+AC19+AD19</f>
        <v>20.25</v>
      </c>
    </row>
    <row r="20" spans="2:31" s="98" customFormat="1" ht="140.25" hidden="1" x14ac:dyDescent="0.25">
      <c r="B20" s="54" t="s">
        <v>163</v>
      </c>
      <c r="C20" s="54" t="s">
        <v>527</v>
      </c>
      <c r="D20" s="54" t="s">
        <v>164</v>
      </c>
      <c r="E20" s="97" t="s">
        <v>474</v>
      </c>
      <c r="F20" s="89" t="s">
        <v>466</v>
      </c>
      <c r="G20" s="89" t="s">
        <v>475</v>
      </c>
      <c r="H20" s="89" t="s">
        <v>459</v>
      </c>
      <c r="I20" s="89" t="s">
        <v>460</v>
      </c>
      <c r="J20" s="89" t="s">
        <v>461</v>
      </c>
      <c r="K20" s="89" t="s">
        <v>47</v>
      </c>
      <c r="L20" s="89" t="s">
        <v>767</v>
      </c>
      <c r="M20" s="89" t="s">
        <v>768</v>
      </c>
      <c r="N20" s="89">
        <v>18321</v>
      </c>
      <c r="O20" s="89"/>
      <c r="P20" s="89"/>
      <c r="Q20" s="89"/>
      <c r="R20" s="89"/>
      <c r="S20" s="89"/>
      <c r="T20" s="89"/>
      <c r="U20" s="54"/>
      <c r="V20" s="54"/>
      <c r="W20" s="89"/>
      <c r="Y20" s="98" t="s">
        <v>808</v>
      </c>
      <c r="Z20" s="98">
        <f>SUMIF(L:L,"P.N.050",N:N)</f>
        <v>1515</v>
      </c>
      <c r="AA20" s="98">
        <f>SUMIF(O:O,"P.N.050",Q:Q)</f>
        <v>16</v>
      </c>
      <c r="AB20" s="98">
        <f>SUMIF(R:R,"P.N.050",T:T)</f>
        <v>0</v>
      </c>
      <c r="AC20" s="98">
        <f>SUMIF(U:U,"P.N.050",W:W)</f>
        <v>0</v>
      </c>
      <c r="AD20" s="98">
        <f>SUMIF(X:X,"P.N.050",Z:Z)</f>
        <v>0</v>
      </c>
      <c r="AE20" s="139">
        <f t="shared" ref="AE20" si="3">Z20+AA20+AB20+AC20+AD20</f>
        <v>1531</v>
      </c>
    </row>
    <row r="21" spans="2:31" s="98" customFormat="1" ht="65.25" hidden="1" customHeight="1" x14ac:dyDescent="0.25">
      <c r="B21" s="54" t="s">
        <v>453</v>
      </c>
      <c r="C21" s="54" t="s">
        <v>501</v>
      </c>
      <c r="D21" s="54" t="s">
        <v>166</v>
      </c>
      <c r="E21" s="97" t="s">
        <v>471</v>
      </c>
      <c r="F21" s="89" t="s">
        <v>457</v>
      </c>
      <c r="G21" s="89" t="s">
        <v>472</v>
      </c>
      <c r="H21" s="89" t="s">
        <v>459</v>
      </c>
      <c r="I21" s="89" t="s">
        <v>460</v>
      </c>
      <c r="J21" s="89" t="s">
        <v>461</v>
      </c>
      <c r="K21" s="89" t="s">
        <v>47</v>
      </c>
      <c r="L21" s="89" t="s">
        <v>767</v>
      </c>
      <c r="M21" s="89" t="s">
        <v>771</v>
      </c>
      <c r="N21" s="89">
        <v>8081.1</v>
      </c>
      <c r="O21" s="89"/>
      <c r="P21" s="89"/>
      <c r="Q21" s="89"/>
      <c r="R21" s="89"/>
      <c r="S21" s="89"/>
      <c r="T21" s="89"/>
      <c r="U21" s="54"/>
      <c r="V21" s="54"/>
      <c r="W21" s="89"/>
      <c r="Y21" s="98" t="s">
        <v>810</v>
      </c>
      <c r="Z21" s="98">
        <f>SUMIF(L:L,"P.N.051",N:N)</f>
        <v>0</v>
      </c>
      <c r="AA21" s="98">
        <f>SUMIF(O:O,"P.N.051",Q:Q)</f>
        <v>153</v>
      </c>
      <c r="AB21" s="98">
        <f>SUMIF(R:R,"P.N.051",T:T)</f>
        <v>1032</v>
      </c>
      <c r="AC21" s="98">
        <f>SUMIF(U:U,"P.N.051",W:W)</f>
        <v>0</v>
      </c>
      <c r="AD21" s="98">
        <f>SUMIF(X:X,"P.N.051",Z:Z)</f>
        <v>0</v>
      </c>
      <c r="AE21" s="139">
        <f t="shared" ref="AE21" si="4">Z21+AA21+AB21+AC21+AD21</f>
        <v>1185</v>
      </c>
    </row>
    <row r="22" spans="2:31" s="98" customFormat="1" ht="57.75" hidden="1" customHeight="1" x14ac:dyDescent="0.25">
      <c r="B22" s="54" t="s">
        <v>454</v>
      </c>
      <c r="C22" s="54" t="s">
        <v>518</v>
      </c>
      <c r="D22" s="54" t="s">
        <v>476</v>
      </c>
      <c r="E22" s="97" t="s">
        <v>474</v>
      </c>
      <c r="F22" s="89" t="s">
        <v>466</v>
      </c>
      <c r="G22" s="89" t="s">
        <v>475</v>
      </c>
      <c r="H22" s="89" t="s">
        <v>459</v>
      </c>
      <c r="I22" s="89" t="s">
        <v>468</v>
      </c>
      <c r="J22" s="89" t="s">
        <v>469</v>
      </c>
      <c r="K22" s="89" t="s">
        <v>470</v>
      </c>
      <c r="L22" s="89" t="s">
        <v>767</v>
      </c>
      <c r="M22" s="89" t="s">
        <v>768</v>
      </c>
      <c r="N22" s="89">
        <v>331458</v>
      </c>
      <c r="O22" s="89"/>
      <c r="P22" s="89"/>
      <c r="Q22" s="89"/>
      <c r="R22" s="89"/>
      <c r="S22" s="89"/>
      <c r="T22" s="89"/>
      <c r="U22" s="54"/>
      <c r="V22" s="54"/>
      <c r="W22" s="89"/>
      <c r="Y22" s="98" t="s">
        <v>812</v>
      </c>
      <c r="Z22" s="98">
        <f>SUMIF(L:L,"P.N.053",N:N)</f>
        <v>0</v>
      </c>
      <c r="AA22" s="98">
        <f>SUMIF(O:O,"P.N.053",Q:Q)</f>
        <v>1870</v>
      </c>
      <c r="AB22" s="98">
        <f>SUMIF(R:R,"P.N.053",T:T)</f>
        <v>153</v>
      </c>
      <c r="AC22" s="98">
        <f>SUMIF(U:U,"P.N.053",W:W)</f>
        <v>120</v>
      </c>
      <c r="AD22" s="98">
        <f>SUMIF(X:X,"P.N.053",Z:Z)</f>
        <v>0</v>
      </c>
      <c r="AE22" s="139">
        <f t="shared" ref="AE22" si="5">Z22+AA22+AB22+AC22+AD22</f>
        <v>2143</v>
      </c>
    </row>
    <row r="23" spans="2:31" s="98" customFormat="1" ht="77.25" hidden="1" customHeight="1" x14ac:dyDescent="0.25">
      <c r="B23" s="54" t="s">
        <v>169</v>
      </c>
      <c r="C23" s="54" t="s">
        <v>519</v>
      </c>
      <c r="D23" s="54" t="s">
        <v>170</v>
      </c>
      <c r="E23" s="97" t="s">
        <v>474</v>
      </c>
      <c r="F23" s="89" t="s">
        <v>466</v>
      </c>
      <c r="G23" s="89" t="s">
        <v>475</v>
      </c>
      <c r="H23" s="89" t="s">
        <v>459</v>
      </c>
      <c r="I23" s="89" t="s">
        <v>468</v>
      </c>
      <c r="J23" s="89" t="s">
        <v>469</v>
      </c>
      <c r="K23" s="89" t="s">
        <v>470</v>
      </c>
      <c r="L23" s="89" t="s">
        <v>767</v>
      </c>
      <c r="M23" s="89" t="s">
        <v>768</v>
      </c>
      <c r="N23" s="89">
        <v>7300</v>
      </c>
      <c r="O23" s="89"/>
      <c r="P23" s="89"/>
      <c r="Q23" s="89"/>
      <c r="R23" s="89"/>
      <c r="S23" s="89"/>
      <c r="T23" s="89"/>
      <c r="U23" s="54"/>
      <c r="V23" s="54"/>
      <c r="W23" s="89"/>
      <c r="Y23" s="98" t="s">
        <v>814</v>
      </c>
      <c r="Z23" s="98">
        <f>SUMIF(L:L,"P.N.054",N:N)</f>
        <v>0</v>
      </c>
      <c r="AA23" s="98">
        <f>SUMIF(O:O,"P.N.054",Q:Q)</f>
        <v>0</v>
      </c>
      <c r="AB23" s="98">
        <f>SUMIF(R:R,"P.N.054",T:T)</f>
        <v>648</v>
      </c>
      <c r="AC23" s="98">
        <f>SUMIF(U:U,"P.N.054",W:W)</f>
        <v>153</v>
      </c>
      <c r="AD23" s="98">
        <f>SUMIF(X:X,"P.N.054",Z:Z)</f>
        <v>27</v>
      </c>
      <c r="AE23" s="139">
        <f t="shared" ref="AE23" si="6">Z23+AA23+AB23+AC23+AD23</f>
        <v>828</v>
      </c>
    </row>
    <row r="24" spans="2:31" ht="72" hidden="1" customHeight="1" x14ac:dyDescent="0.25">
      <c r="B24" s="59" t="s">
        <v>171</v>
      </c>
      <c r="C24" s="59" t="s">
        <v>528</v>
      </c>
      <c r="D24" s="59" t="s">
        <v>172</v>
      </c>
      <c r="E24" s="47" t="s">
        <v>471</v>
      </c>
      <c r="F24" s="46" t="s">
        <v>457</v>
      </c>
      <c r="G24" s="46" t="s">
        <v>472</v>
      </c>
      <c r="H24" s="46" t="s">
        <v>459</v>
      </c>
      <c r="I24" s="46" t="s">
        <v>460</v>
      </c>
      <c r="J24" s="46" t="s">
        <v>461</v>
      </c>
      <c r="K24" s="46" t="s">
        <v>47</v>
      </c>
      <c r="L24" s="46" t="s">
        <v>767</v>
      </c>
      <c r="M24" s="46" t="s">
        <v>771</v>
      </c>
      <c r="N24" s="46">
        <v>58654</v>
      </c>
      <c r="O24" s="46"/>
      <c r="P24" s="46"/>
      <c r="Q24" s="46"/>
      <c r="R24" s="46"/>
      <c r="S24" s="46"/>
      <c r="T24" s="46"/>
      <c r="U24" s="59"/>
      <c r="V24" s="59"/>
      <c r="W24" s="46"/>
      <c r="Y24" s="53" t="s">
        <v>829</v>
      </c>
      <c r="Z24" s="53">
        <f>SUMIF(L:L,"P.N.092",N:N)</f>
        <v>4</v>
      </c>
      <c r="AA24" s="53">
        <f>SUMIF(O:O,"P.N.092",Q:Q)</f>
        <v>1</v>
      </c>
      <c r="AB24" s="53">
        <f>SUMIF(R:R,"P.N.092",T:T)</f>
        <v>0</v>
      </c>
      <c r="AC24" s="53">
        <f>SUMIF(U:U,"P.N.092",W:W)</f>
        <v>0</v>
      </c>
      <c r="AD24" s="53">
        <f>SUMIF(X:X,"P.N.092",Z:Z)</f>
        <v>0</v>
      </c>
      <c r="AE24" s="137">
        <f t="shared" ref="AE24" si="7">Z24+AA24+AB24+AC24+AD24</f>
        <v>5</v>
      </c>
    </row>
    <row r="25" spans="2:31" ht="76.5" hidden="1" x14ac:dyDescent="0.25">
      <c r="B25" s="59" t="s">
        <v>173</v>
      </c>
      <c r="C25" s="59" t="s">
        <v>529</v>
      </c>
      <c r="D25" s="59" t="s">
        <v>174</v>
      </c>
      <c r="E25" s="47" t="s">
        <v>471</v>
      </c>
      <c r="F25" s="46" t="s">
        <v>457</v>
      </c>
      <c r="G25" s="46" t="s">
        <v>472</v>
      </c>
      <c r="H25" s="46" t="s">
        <v>459</v>
      </c>
      <c r="I25" s="46" t="s">
        <v>460</v>
      </c>
      <c r="J25" s="46" t="s">
        <v>461</v>
      </c>
      <c r="K25" s="46" t="s">
        <v>47</v>
      </c>
      <c r="L25" s="46" t="s">
        <v>767</v>
      </c>
      <c r="M25" s="46" t="s">
        <v>771</v>
      </c>
      <c r="N25" s="46">
        <v>5000</v>
      </c>
      <c r="O25" s="46"/>
      <c r="P25" s="46"/>
      <c r="Q25" s="46"/>
      <c r="R25" s="46"/>
      <c r="S25" s="46"/>
      <c r="T25" s="46"/>
      <c r="U25" s="59"/>
      <c r="V25" s="59"/>
      <c r="W25" s="46"/>
      <c r="Y25" s="53" t="s">
        <v>831</v>
      </c>
      <c r="Z25" s="53">
        <f>SUMIF(L:L,"P.N.093",N:N)</f>
        <v>128</v>
      </c>
      <c r="AA25" s="53">
        <f>SUMIF(O:O,"P.N.093",Q:Q)</f>
        <v>34</v>
      </c>
      <c r="AB25" s="53">
        <f>SUMIF(R:R,"P.N.093",T:T)</f>
        <v>0</v>
      </c>
      <c r="AC25" s="53">
        <f>SUMIF(U:U,"P.N.093",W:W)</f>
        <v>0</v>
      </c>
      <c r="AD25" s="53">
        <f>SUMIF(X:X,"P.N.093",Z:Z)</f>
        <v>8</v>
      </c>
      <c r="AE25" s="137">
        <f t="shared" ref="AE25" si="8">Z25+AA25+AB25+AC25+AD25</f>
        <v>170</v>
      </c>
    </row>
    <row r="26" spans="2:31" ht="56.25" hidden="1" customHeight="1" x14ac:dyDescent="0.25">
      <c r="B26" s="59" t="s">
        <v>455</v>
      </c>
      <c r="C26" s="59" t="s">
        <v>530</v>
      </c>
      <c r="D26" s="59" t="s">
        <v>477</v>
      </c>
      <c r="E26" s="47" t="s">
        <v>474</v>
      </c>
      <c r="F26" s="46" t="s">
        <v>466</v>
      </c>
      <c r="G26" s="46" t="s">
        <v>475</v>
      </c>
      <c r="H26" s="46" t="s">
        <v>459</v>
      </c>
      <c r="I26" s="46" t="s">
        <v>468</v>
      </c>
      <c r="J26" s="46" t="s">
        <v>469</v>
      </c>
      <c r="K26" s="46" t="s">
        <v>470</v>
      </c>
      <c r="L26" s="46" t="s">
        <v>767</v>
      </c>
      <c r="M26" s="46" t="s">
        <v>768</v>
      </c>
      <c r="N26" s="46">
        <v>30657</v>
      </c>
      <c r="O26" s="46"/>
      <c r="P26" s="46"/>
      <c r="Q26" s="46"/>
      <c r="R26" s="46"/>
      <c r="S26" s="46"/>
      <c r="T26" s="46"/>
      <c r="U26" s="59"/>
      <c r="V26" s="59"/>
      <c r="W26" s="46"/>
      <c r="Y26" s="53" t="s">
        <v>870</v>
      </c>
      <c r="Z26" s="53">
        <f>SUMIF(L:L,"P.N.304",N:N)</f>
        <v>6</v>
      </c>
      <c r="AA26" s="53">
        <f>SUMIF(O:O,"P.N.304",Q:Q)</f>
        <v>0</v>
      </c>
      <c r="AB26" s="53">
        <f>SUMIF(R:R,"P.N.304",T:T)</f>
        <v>0</v>
      </c>
      <c r="AC26" s="53">
        <f>SUMIF(U:U,"P.N.304",W:W)</f>
        <v>0</v>
      </c>
      <c r="AD26" s="53">
        <f>SUMIF(X:X,"P.N.304",Z:Z)</f>
        <v>0</v>
      </c>
      <c r="AE26" s="137">
        <f t="shared" ref="AE26" si="9">Z26+AA26+AB26+AC26+AD26</f>
        <v>6</v>
      </c>
    </row>
    <row r="27" spans="2:31" ht="51" hidden="1" x14ac:dyDescent="0.25">
      <c r="B27" s="60" t="s">
        <v>52</v>
      </c>
      <c r="C27" s="60"/>
      <c r="D27" s="60" t="s">
        <v>502</v>
      </c>
      <c r="E27" s="60"/>
      <c r="F27" s="60"/>
      <c r="G27" s="60"/>
      <c r="H27" s="60"/>
      <c r="I27" s="60"/>
      <c r="J27" s="60"/>
      <c r="K27" s="60"/>
      <c r="L27" s="60"/>
      <c r="M27" s="60"/>
      <c r="N27" s="60"/>
      <c r="O27" s="60"/>
      <c r="P27" s="60"/>
      <c r="Q27" s="60"/>
      <c r="R27" s="60"/>
      <c r="S27" s="60"/>
      <c r="T27" s="60"/>
      <c r="U27" s="60"/>
      <c r="V27" s="60"/>
      <c r="W27" s="60"/>
      <c r="Y27" s="53" t="s">
        <v>864</v>
      </c>
      <c r="Z27" s="53">
        <f>SUMIF(L:L,"P.N.403",N:N)</f>
        <v>0</v>
      </c>
      <c r="AA27" s="53">
        <f>SUMIF(O:O,"P.N.403",Q:Q)</f>
        <v>136</v>
      </c>
      <c r="AB27" s="53">
        <f>SUMIF(R:R,"P.N.403",T:T)</f>
        <v>0</v>
      </c>
      <c r="AC27" s="53">
        <f>SUMIF(U:U,"P.N.403",W:W)</f>
        <v>0</v>
      </c>
      <c r="AD27" s="53">
        <f>SUMIF(X:X,"P.N.403",Z:Z)</f>
        <v>0</v>
      </c>
      <c r="AE27" s="137">
        <f t="shared" ref="AE27" si="10">Z27+AA27+AB27+AC27+AD27</f>
        <v>136</v>
      </c>
    </row>
    <row r="28" spans="2:31" ht="58.5" hidden="1" customHeight="1" x14ac:dyDescent="0.25">
      <c r="B28" s="59" t="s">
        <v>53</v>
      </c>
      <c r="C28" s="59" t="s">
        <v>531</v>
      </c>
      <c r="D28" s="59" t="s">
        <v>178</v>
      </c>
      <c r="E28" s="59" t="s">
        <v>503</v>
      </c>
      <c r="F28" s="59" t="s">
        <v>457</v>
      </c>
      <c r="G28" s="59" t="s">
        <v>504</v>
      </c>
      <c r="H28" s="59" t="s">
        <v>505</v>
      </c>
      <c r="I28" s="59" t="s">
        <v>460</v>
      </c>
      <c r="J28" s="59" t="s">
        <v>461</v>
      </c>
      <c r="K28" s="59" t="s">
        <v>47</v>
      </c>
      <c r="L28" s="46" t="s">
        <v>767</v>
      </c>
      <c r="M28" s="46" t="s">
        <v>772</v>
      </c>
      <c r="N28" s="46">
        <v>4873</v>
      </c>
      <c r="O28" s="46"/>
      <c r="P28" s="46"/>
      <c r="Q28" s="46"/>
      <c r="R28" s="59"/>
      <c r="S28" s="46"/>
      <c r="T28" s="59"/>
      <c r="U28" s="59"/>
      <c r="V28" s="59"/>
      <c r="W28" s="46"/>
      <c r="Y28" s="53" t="s">
        <v>794</v>
      </c>
      <c r="Z28" s="53">
        <f>SUMIF(L:L,"P.N.507",N:N)</f>
        <v>2</v>
      </c>
      <c r="AA28" s="53">
        <f>SUMIF(O:O,"P.N.507",Q:Q)</f>
        <v>0</v>
      </c>
      <c r="AB28" s="53">
        <f>SUMIF(R:R,"P.N.507",T:T)</f>
        <v>0</v>
      </c>
      <c r="AC28" s="53">
        <f>SUMIF(U:U,"P.N.507",W:W)</f>
        <v>0</v>
      </c>
      <c r="AD28" s="53">
        <f>SUMIF(X:X,"P.N.507",Z:Z)</f>
        <v>0</v>
      </c>
      <c r="AE28" s="137">
        <f t="shared" ref="AE28" si="11">Z28+AA28+AB28+AC28+AD28</f>
        <v>2</v>
      </c>
    </row>
    <row r="29" spans="2:31" ht="128.25" hidden="1" customHeight="1" x14ac:dyDescent="0.25">
      <c r="B29" s="59" t="s">
        <v>54</v>
      </c>
      <c r="C29" s="59" t="s">
        <v>533</v>
      </c>
      <c r="D29" s="59" t="s">
        <v>179</v>
      </c>
      <c r="E29" s="59" t="s">
        <v>506</v>
      </c>
      <c r="F29" s="59" t="s">
        <v>457</v>
      </c>
      <c r="G29" s="59" t="s">
        <v>507</v>
      </c>
      <c r="H29" s="59" t="s">
        <v>508</v>
      </c>
      <c r="I29" s="59" t="s">
        <v>509</v>
      </c>
      <c r="J29" s="59" t="s">
        <v>461</v>
      </c>
      <c r="K29" s="59" t="s">
        <v>47</v>
      </c>
      <c r="L29" s="46" t="s">
        <v>767</v>
      </c>
      <c r="M29" s="46" t="s">
        <v>772</v>
      </c>
      <c r="N29" s="46">
        <v>89245</v>
      </c>
      <c r="O29" s="46" t="s">
        <v>769</v>
      </c>
      <c r="P29" s="46" t="s">
        <v>773</v>
      </c>
      <c r="Q29" s="46">
        <v>800</v>
      </c>
      <c r="R29" s="59"/>
      <c r="S29" s="46"/>
      <c r="T29" s="59"/>
      <c r="U29" s="59"/>
      <c r="V29" s="59"/>
      <c r="W29" s="46"/>
      <c r="Y29" s="53" t="s">
        <v>778</v>
      </c>
      <c r="Z29" s="53">
        <f>SUMIF(L:L,"P.N.508",N:N)</f>
        <v>0.35</v>
      </c>
      <c r="AA29" s="53">
        <f>SUMIF(O:O,"P.N.508",Q:Q)</f>
        <v>0</v>
      </c>
      <c r="AB29" s="53">
        <f>SUMIF(R:R,"P.N.508",T:T)</f>
        <v>0.23599999999999999</v>
      </c>
      <c r="AC29" s="53">
        <f>SUMIF(U:U,"P.N.508",W:W)</f>
        <v>0</v>
      </c>
      <c r="AD29" s="53">
        <f>SUMIF(X:X,"P.N.508",Z:Z)</f>
        <v>0</v>
      </c>
      <c r="AE29" s="137">
        <f t="shared" ref="AE29" si="12">Z29+AA29+AB29+AC29+AD29</f>
        <v>0.58599999999999997</v>
      </c>
    </row>
    <row r="30" spans="2:31" ht="57.75" hidden="1" customHeight="1" x14ac:dyDescent="0.25">
      <c r="B30" s="59" t="s">
        <v>180</v>
      </c>
      <c r="C30" s="59" t="s">
        <v>532</v>
      </c>
      <c r="D30" s="59" t="s">
        <v>181</v>
      </c>
      <c r="E30" s="59" t="s">
        <v>510</v>
      </c>
      <c r="F30" s="59" t="s">
        <v>457</v>
      </c>
      <c r="G30" s="59" t="s">
        <v>511</v>
      </c>
      <c r="H30" s="59" t="s">
        <v>508</v>
      </c>
      <c r="I30" s="59" t="s">
        <v>509</v>
      </c>
      <c r="J30" s="59" t="s">
        <v>461</v>
      </c>
      <c r="K30" s="59" t="s">
        <v>47</v>
      </c>
      <c r="L30" s="46" t="s">
        <v>767</v>
      </c>
      <c r="M30" s="46" t="s">
        <v>771</v>
      </c>
      <c r="N30" s="46">
        <v>55471</v>
      </c>
      <c r="O30" s="46"/>
      <c r="P30" s="46"/>
      <c r="Q30" s="46"/>
      <c r="R30" s="59"/>
      <c r="S30" s="46"/>
      <c r="T30" s="59"/>
      <c r="U30" s="59"/>
      <c r="V30" s="59"/>
      <c r="W30" s="46"/>
      <c r="Y30" s="53" t="s">
        <v>855</v>
      </c>
      <c r="Z30" s="53">
        <f>SUMIF(L:L,"P.N.671",N:N)</f>
        <v>0</v>
      </c>
      <c r="AA30" s="53">
        <f>SUMIF(O:O,"P.N.671",Q:Q)</f>
        <v>1</v>
      </c>
      <c r="AB30" s="53">
        <f>SUMIF(R:R,"P.N.671",T:T)</f>
        <v>0</v>
      </c>
      <c r="AC30" s="53">
        <f>SUMIF(U:U,"P.N.671",W:W)</f>
        <v>0</v>
      </c>
      <c r="AD30" s="53">
        <f>SUMIF(X:X,"P.N.671",Z:Z)</f>
        <v>0</v>
      </c>
      <c r="AE30" s="137">
        <f t="shared" ref="AE30" si="13">Z30+AA30+AB30+AC30+AD30</f>
        <v>1</v>
      </c>
    </row>
    <row r="31" spans="2:31" ht="149.25" hidden="1" customHeight="1" x14ac:dyDescent="0.25">
      <c r="B31" s="117" t="s">
        <v>19</v>
      </c>
      <c r="C31" s="37"/>
      <c r="D31" s="37" t="s">
        <v>182</v>
      </c>
      <c r="E31" s="37"/>
      <c r="F31" s="117"/>
      <c r="G31" s="37"/>
      <c r="H31" s="37"/>
      <c r="I31" s="37"/>
      <c r="J31" s="117"/>
      <c r="K31" s="37"/>
      <c r="L31" s="37"/>
      <c r="M31" s="37"/>
      <c r="N31" s="117"/>
      <c r="O31" s="37"/>
      <c r="P31" s="37"/>
      <c r="Q31" s="37"/>
      <c r="R31" s="117"/>
      <c r="S31" s="37"/>
      <c r="T31" s="37"/>
      <c r="U31" s="37"/>
      <c r="V31" s="117"/>
      <c r="W31" s="37"/>
      <c r="Y31" s="53" t="s">
        <v>841</v>
      </c>
      <c r="Z31" s="53">
        <f>SUMIF(L:L,"P.N.717",N:N)</f>
        <v>2</v>
      </c>
      <c r="AA31" s="53">
        <f>SUMIF(O:O,"P.N.717",Q:Q)</f>
        <v>0</v>
      </c>
      <c r="AB31" s="53">
        <f>SUMIF(R:R,"P.N.717",T:T)</f>
        <v>0</v>
      </c>
      <c r="AC31" s="53">
        <f>SUMIF(U:U,"P.N.717",W:W)</f>
        <v>0</v>
      </c>
      <c r="AD31" s="53">
        <f>SUMIF(X:X,"P.N.717",Z:Z)</f>
        <v>0</v>
      </c>
      <c r="AE31" s="137">
        <f t="shared" ref="AE31" si="14">Z31+AA31+AB31+AC31+AD31</f>
        <v>2</v>
      </c>
    </row>
    <row r="32" spans="2:31" ht="51" hidden="1" x14ac:dyDescent="0.25">
      <c r="B32" s="60" t="s">
        <v>537</v>
      </c>
      <c r="C32" s="60"/>
      <c r="D32" s="60" t="s">
        <v>183</v>
      </c>
      <c r="E32" s="60"/>
      <c r="F32" s="60"/>
      <c r="G32" s="60"/>
      <c r="H32" s="60"/>
      <c r="I32" s="60"/>
      <c r="J32" s="60"/>
      <c r="K32" s="60"/>
      <c r="L32" s="60"/>
      <c r="M32" s="60"/>
      <c r="N32" s="60"/>
      <c r="O32" s="60"/>
      <c r="P32" s="60"/>
      <c r="Q32" s="60"/>
      <c r="R32" s="60"/>
      <c r="S32" s="60"/>
      <c r="T32" s="60"/>
      <c r="U32" s="60"/>
      <c r="V32" s="60"/>
      <c r="W32" s="60"/>
      <c r="Y32" s="53" t="s">
        <v>847</v>
      </c>
      <c r="Z32" s="53">
        <f>SUMIF(L:L,"P.N.722",N:N)</f>
        <v>3</v>
      </c>
      <c r="AA32" s="53">
        <f>SUMIF(O:O,"P.N.722",Q:Q)</f>
        <v>0</v>
      </c>
      <c r="AB32" s="53">
        <f>SUMIF(R:R,"P.N.722",T:T)</f>
        <v>0</v>
      </c>
      <c r="AC32" s="53">
        <f>SUMIF(U:U,"P.N.722",W:W)</f>
        <v>0</v>
      </c>
      <c r="AD32" s="53">
        <f>SUMIF(X:X,"P.N.722",Z:Z)</f>
        <v>0</v>
      </c>
      <c r="AE32" s="137">
        <f t="shared" ref="AE32" si="15">Z32+AA32+AB32+AC32+AD32</f>
        <v>3</v>
      </c>
    </row>
    <row r="33" spans="2:31" ht="165.75" hidden="1" x14ac:dyDescent="0.25">
      <c r="B33" s="59" t="s">
        <v>184</v>
      </c>
      <c r="C33" s="59" t="s">
        <v>552</v>
      </c>
      <c r="D33" s="59" t="s">
        <v>185</v>
      </c>
      <c r="E33" s="59" t="s">
        <v>503</v>
      </c>
      <c r="F33" s="59" t="s">
        <v>457</v>
      </c>
      <c r="G33" s="59" t="s">
        <v>534</v>
      </c>
      <c r="H33" s="59" t="s">
        <v>535</v>
      </c>
      <c r="I33" s="59" t="s">
        <v>460</v>
      </c>
      <c r="J33" s="59"/>
      <c r="K33" s="59" t="s">
        <v>47</v>
      </c>
      <c r="L33" s="46" t="s">
        <v>774</v>
      </c>
      <c r="M33" s="46" t="s">
        <v>775</v>
      </c>
      <c r="N33" s="46">
        <v>34500</v>
      </c>
      <c r="O33" s="46" t="s">
        <v>776</v>
      </c>
      <c r="P33" s="46" t="s">
        <v>777</v>
      </c>
      <c r="Q33" s="46">
        <v>58</v>
      </c>
      <c r="R33" s="46"/>
      <c r="S33" s="46"/>
      <c r="T33" s="46"/>
      <c r="U33" s="46"/>
      <c r="V33" s="46"/>
      <c r="W33" s="46"/>
      <c r="Y33" s="53" t="s">
        <v>849</v>
      </c>
      <c r="Z33" s="53">
        <f>SUMIF(L:L,"P.N.723",N:N)</f>
        <v>2</v>
      </c>
      <c r="AA33" s="53">
        <f>SUMIF(O:O,"P.N.723",Q:Q)</f>
        <v>0</v>
      </c>
      <c r="AB33" s="53">
        <f>SUMIF(R:R,"P.N.723",T:T)</f>
        <v>0</v>
      </c>
      <c r="AC33" s="53">
        <f>SUMIF(U:U,"P.N.723",W:W)</f>
        <v>0</v>
      </c>
      <c r="AD33" s="53">
        <f>SUMIF(X:X,"P.N.723",Z:Z)</f>
        <v>0</v>
      </c>
      <c r="AE33" s="137">
        <f t="shared" ref="AE33" si="16">Z33+AA33+AB33+AC33+AD33</f>
        <v>2</v>
      </c>
    </row>
    <row r="34" spans="2:31" ht="153" hidden="1" x14ac:dyDescent="0.25">
      <c r="B34" s="117" t="s">
        <v>186</v>
      </c>
      <c r="C34" s="37"/>
      <c r="D34" s="37" t="s">
        <v>187</v>
      </c>
      <c r="E34" s="37"/>
      <c r="F34" s="117"/>
      <c r="G34" s="37"/>
      <c r="H34" s="37"/>
      <c r="I34" s="37"/>
      <c r="J34" s="117"/>
      <c r="K34" s="37"/>
      <c r="L34" s="140"/>
      <c r="M34" s="140"/>
      <c r="N34" s="141"/>
      <c r="O34" s="140"/>
      <c r="P34" s="140"/>
      <c r="Q34" s="140"/>
      <c r="R34" s="141"/>
      <c r="S34" s="140"/>
      <c r="T34" s="140"/>
      <c r="U34" s="140"/>
      <c r="V34" s="141"/>
      <c r="W34" s="140"/>
      <c r="Y34" s="53" t="s">
        <v>804</v>
      </c>
      <c r="Z34" s="53">
        <f>SUMIF(L:L,"P.N.817",N:N)</f>
        <v>213</v>
      </c>
      <c r="AA34" s="53">
        <f>SUMIF(O:O,"P.N.817",Q:Q)</f>
        <v>0</v>
      </c>
      <c r="AB34" s="53">
        <f>SUMIF(R:R,"P.N.817",T:T)</f>
        <v>0</v>
      </c>
      <c r="AC34" s="53">
        <f>SUMIF(U:U,"P.N.817",W:W)</f>
        <v>0</v>
      </c>
      <c r="AD34" s="53">
        <f>SUMIF(X:X,"P.N.817",Z:Z)</f>
        <v>0</v>
      </c>
      <c r="AE34" s="137">
        <f t="shared" ref="AE34" si="17">Z34+AA34+AB34+AC34+AD34</f>
        <v>213</v>
      </c>
    </row>
    <row r="35" spans="2:31" ht="76.5" hidden="1" x14ac:dyDescent="0.25">
      <c r="B35" s="60" t="s">
        <v>188</v>
      </c>
      <c r="C35" s="60"/>
      <c r="D35" s="60" t="s">
        <v>189</v>
      </c>
      <c r="E35" s="60"/>
      <c r="F35" s="60"/>
      <c r="G35" s="60"/>
      <c r="H35" s="60"/>
      <c r="I35" s="60"/>
      <c r="J35" s="60"/>
      <c r="K35" s="60"/>
      <c r="L35" s="142"/>
      <c r="M35" s="142"/>
      <c r="N35" s="142"/>
      <c r="O35" s="142"/>
      <c r="P35" s="142"/>
      <c r="Q35" s="142"/>
      <c r="R35" s="142"/>
      <c r="S35" s="142"/>
      <c r="T35" s="142"/>
      <c r="U35" s="142"/>
      <c r="V35" s="142"/>
      <c r="W35" s="142"/>
      <c r="Y35" s="53" t="s">
        <v>876</v>
      </c>
      <c r="Z35" s="53">
        <f>SUMIF(L:L,"P.N.910",N:N)</f>
        <v>0</v>
      </c>
      <c r="AA35" s="53">
        <f>SUMIF(O:O,"P.N.910",Q:Q)</f>
        <v>0</v>
      </c>
      <c r="AB35" s="53">
        <f>SUMIF(R:R,"P.N.910",T:T)</f>
        <v>5</v>
      </c>
      <c r="AC35" s="53">
        <f>SUMIF(U:U,"P.N.910",W:W)</f>
        <v>0</v>
      </c>
      <c r="AD35" s="53">
        <f>SUMIF(X:X,"P.N.910",Z:Z)</f>
        <v>0</v>
      </c>
      <c r="AE35" s="137">
        <f t="shared" ref="AE35" si="18">Z35+AA35+AB35+AC35+AD35</f>
        <v>5</v>
      </c>
    </row>
    <row r="36" spans="2:31" ht="78.75" hidden="1" customHeight="1" x14ac:dyDescent="0.25">
      <c r="B36" s="60" t="s">
        <v>190</v>
      </c>
      <c r="C36" s="60"/>
      <c r="D36" s="60" t="s">
        <v>191</v>
      </c>
      <c r="E36" s="60"/>
      <c r="F36" s="60"/>
      <c r="G36" s="60"/>
      <c r="H36" s="60"/>
      <c r="I36" s="60"/>
      <c r="J36" s="60"/>
      <c r="K36" s="60"/>
      <c r="L36" s="142"/>
      <c r="M36" s="142"/>
      <c r="N36" s="142"/>
      <c r="O36" s="142"/>
      <c r="P36" s="142"/>
      <c r="Q36" s="142"/>
      <c r="R36" s="142"/>
      <c r="S36" s="142"/>
      <c r="T36" s="142"/>
      <c r="U36" s="142"/>
      <c r="V36" s="142"/>
      <c r="W36" s="142"/>
      <c r="Y36" s="53" t="s">
        <v>920</v>
      </c>
      <c r="Z36" s="53">
        <f>SUMIF(L:L,"P.N.915",N:N)</f>
        <v>0</v>
      </c>
      <c r="AA36" s="53">
        <f>SUMIF(O:O,"P.N.915",Q:Q)</f>
        <v>0</v>
      </c>
      <c r="AB36" s="53">
        <f>SUMIF(R:R,"P.N.915",T:T)</f>
        <v>0</v>
      </c>
      <c r="AC36" s="53">
        <f>SUMIF(U:U,"P.N.915",W:W)</f>
        <v>0</v>
      </c>
      <c r="AD36" s="53">
        <f>SUMIF(X:X,"P.N.915",Z:Z)</f>
        <v>0</v>
      </c>
      <c r="AE36" s="137">
        <f t="shared" ref="AE36" si="19">Z36+AA36+AB36+AC36+AD36</f>
        <v>0</v>
      </c>
    </row>
    <row r="37" spans="2:31" ht="63.75" hidden="1" x14ac:dyDescent="0.25">
      <c r="B37" s="78" t="s">
        <v>21</v>
      </c>
      <c r="C37" s="79"/>
      <c r="D37" s="78" t="s">
        <v>192</v>
      </c>
      <c r="E37" s="78"/>
      <c r="F37" s="78"/>
      <c r="G37" s="79"/>
      <c r="H37" s="78"/>
      <c r="I37" s="78"/>
      <c r="J37" s="78"/>
      <c r="K37" s="79"/>
      <c r="L37" s="143"/>
      <c r="M37" s="143"/>
      <c r="N37" s="143"/>
      <c r="O37" s="144"/>
      <c r="P37" s="143"/>
      <c r="Q37" s="143"/>
      <c r="R37" s="143"/>
      <c r="S37" s="144"/>
      <c r="T37" s="143"/>
      <c r="U37" s="143"/>
      <c r="V37" s="143"/>
      <c r="W37" s="144"/>
      <c r="Y37" s="53" t="s">
        <v>786</v>
      </c>
      <c r="Z37" s="53">
        <f>SUMIF(L:L,"P.S.321",N:N)</f>
        <v>1.56</v>
      </c>
      <c r="AA37" s="53">
        <f>SUMIF(O:O,"P.S.321",Q:Q)</f>
        <v>0</v>
      </c>
      <c r="AB37" s="53">
        <f>SUMIF(R:R,"P.S.321",T:T)</f>
        <v>0</v>
      </c>
      <c r="AC37" s="53">
        <f>SUMIF(U:U,"P.S.321",W:W)</f>
        <v>0</v>
      </c>
      <c r="AD37" s="53">
        <f>SUMIF(X:X,"P.S.321",Z:Z)</f>
        <v>0</v>
      </c>
      <c r="AE37" s="137">
        <f t="shared" ref="AE37" si="20">Z37+AA37+AB37+AC37+AD37</f>
        <v>1.56</v>
      </c>
    </row>
    <row r="38" spans="2:31" ht="63.75" hidden="1" x14ac:dyDescent="0.25">
      <c r="B38" s="117" t="s">
        <v>22</v>
      </c>
      <c r="C38" s="37"/>
      <c r="D38" s="37" t="s">
        <v>193</v>
      </c>
      <c r="E38" s="37"/>
      <c r="F38" s="117"/>
      <c r="G38" s="37"/>
      <c r="H38" s="37"/>
      <c r="I38" s="37"/>
      <c r="J38" s="117"/>
      <c r="K38" s="37"/>
      <c r="L38" s="140"/>
      <c r="M38" s="140"/>
      <c r="N38" s="141"/>
      <c r="O38" s="140"/>
      <c r="P38" s="140"/>
      <c r="Q38" s="140"/>
      <c r="R38" s="141"/>
      <c r="S38" s="140"/>
      <c r="T38" s="140"/>
      <c r="U38" s="140"/>
      <c r="V38" s="141"/>
      <c r="W38" s="140"/>
      <c r="Y38" s="53" t="s">
        <v>789</v>
      </c>
      <c r="Z38" s="53">
        <f>SUMIF(L:L,"P.S.322",N:N)</f>
        <v>0.8</v>
      </c>
      <c r="AA38" s="53">
        <f>SUMIF(O:O,"P.S.322",Q:Q)</f>
        <v>0.8</v>
      </c>
      <c r="AB38" s="53">
        <f>SUMIF(R:R,"P.S.322",T:T)</f>
        <v>0</v>
      </c>
      <c r="AC38" s="53">
        <f>SUMIF(U:U,"P.S.322",W:W)</f>
        <v>0</v>
      </c>
      <c r="AD38" s="53">
        <f>SUMIF(X:X,"P.S.322",Z:Z)</f>
        <v>0</v>
      </c>
      <c r="AE38" s="137">
        <f t="shared" ref="AE38" si="21">Z38+AA38+AB38+AC38+AD38</f>
        <v>1.6</v>
      </c>
    </row>
    <row r="39" spans="2:31" ht="25.5" x14ac:dyDescent="0.25">
      <c r="B39" s="60" t="s">
        <v>194</v>
      </c>
      <c r="C39" s="60"/>
      <c r="D39" s="60" t="s">
        <v>538</v>
      </c>
      <c r="E39" s="60"/>
      <c r="F39" s="60"/>
      <c r="G39" s="60"/>
      <c r="H39" s="60"/>
      <c r="I39" s="60"/>
      <c r="J39" s="60"/>
      <c r="K39" s="60"/>
      <c r="L39" s="142"/>
      <c r="M39" s="142"/>
      <c r="N39" s="142"/>
      <c r="O39" s="142"/>
      <c r="P39" s="142"/>
      <c r="Q39" s="142"/>
      <c r="R39" s="142"/>
      <c r="S39" s="142"/>
      <c r="T39" s="142"/>
      <c r="U39" s="142"/>
      <c r="V39" s="142"/>
      <c r="W39" s="142"/>
      <c r="Y39" s="53" t="s">
        <v>792</v>
      </c>
      <c r="Z39" s="53">
        <f>SUMIF(L:L,"P.S.323",N:N)</f>
        <v>3</v>
      </c>
      <c r="AA39" s="53">
        <f>SUMIF(O:O,"P.S.323",Q:Q)</f>
        <v>0</v>
      </c>
      <c r="AB39" s="53">
        <f>SUMIF(R:R,"P.S.323",T:T)</f>
        <v>0</v>
      </c>
      <c r="AC39" s="53">
        <f>SUMIF(U:U,"P.S.323",W:W)</f>
        <v>0</v>
      </c>
      <c r="AD39" s="53">
        <f>SUMIF(X:X,"P.S.323",Z:Z)</f>
        <v>0</v>
      </c>
      <c r="AE39" s="137">
        <f t="shared" ref="AE39" si="22">Z39+AA39+AB39+AC39+AD39</f>
        <v>3</v>
      </c>
    </row>
    <row r="40" spans="2:31" ht="79.5" customHeight="1" x14ac:dyDescent="0.25">
      <c r="B40" s="59" t="s">
        <v>196</v>
      </c>
      <c r="C40" s="59" t="s">
        <v>551</v>
      </c>
      <c r="D40" s="59" t="s">
        <v>197</v>
      </c>
      <c r="E40" s="59" t="s">
        <v>503</v>
      </c>
      <c r="F40" s="59" t="s">
        <v>539</v>
      </c>
      <c r="G40" s="59" t="s">
        <v>504</v>
      </c>
      <c r="H40" s="59" t="s">
        <v>540</v>
      </c>
      <c r="I40" s="59" t="s">
        <v>460</v>
      </c>
      <c r="J40" s="59" t="s">
        <v>461</v>
      </c>
      <c r="K40" s="59" t="s">
        <v>47</v>
      </c>
      <c r="L40" s="46" t="s">
        <v>778</v>
      </c>
      <c r="M40" s="46" t="s">
        <v>779</v>
      </c>
      <c r="N40" s="46">
        <v>0.35</v>
      </c>
      <c r="O40" s="46"/>
      <c r="P40" s="46"/>
      <c r="Q40" s="46"/>
      <c r="R40" s="46"/>
      <c r="S40" s="46"/>
      <c r="T40" s="46"/>
      <c r="U40" s="46"/>
      <c r="V40" s="46"/>
      <c r="W40" s="46"/>
      <c r="Y40" s="53" t="s">
        <v>796</v>
      </c>
      <c r="Z40" s="53">
        <f>SUMIF(L:L,"P.S.325",N:N)</f>
        <v>4</v>
      </c>
      <c r="AA40" s="53">
        <f>SUMIF(O:O,"P.S.325",Q:Q)</f>
        <v>0</v>
      </c>
      <c r="AB40" s="53">
        <f>SUMIF(R:R,"P.S.325",T:T)</f>
        <v>0</v>
      </c>
      <c r="AC40" s="53">
        <f>SUMIF(U:U,"P.S.325",W:W)</f>
        <v>0</v>
      </c>
      <c r="AD40" s="53">
        <f>SUMIF(X:X,"P.S.325",Z:Z)</f>
        <v>0</v>
      </c>
      <c r="AE40" s="137">
        <f t="shared" ref="AE40" si="23">Z40+AA40+AB40+AC40+AD40</f>
        <v>4</v>
      </c>
    </row>
    <row r="41" spans="2:31" ht="76.5" customHeight="1" x14ac:dyDescent="0.25">
      <c r="B41" s="59" t="s">
        <v>198</v>
      </c>
      <c r="C41" s="59" t="s">
        <v>553</v>
      </c>
      <c r="D41" s="59" t="s">
        <v>199</v>
      </c>
      <c r="E41" s="59" t="s">
        <v>541</v>
      </c>
      <c r="F41" s="59" t="s">
        <v>539</v>
      </c>
      <c r="G41" s="59" t="s">
        <v>542</v>
      </c>
      <c r="H41" s="59" t="s">
        <v>540</v>
      </c>
      <c r="I41" s="59" t="s">
        <v>460</v>
      </c>
      <c r="J41" s="59" t="s">
        <v>461</v>
      </c>
      <c r="K41" s="59" t="s">
        <v>47</v>
      </c>
      <c r="L41" s="46" t="s">
        <v>783</v>
      </c>
      <c r="M41" s="46" t="s">
        <v>784</v>
      </c>
      <c r="N41" s="46">
        <v>0.125</v>
      </c>
      <c r="O41" s="46" t="s">
        <v>781</v>
      </c>
      <c r="P41" s="46" t="s">
        <v>782</v>
      </c>
      <c r="Q41" s="46">
        <v>1</v>
      </c>
      <c r="R41" s="46"/>
      <c r="S41" s="46"/>
      <c r="T41" s="46"/>
      <c r="U41" s="46"/>
      <c r="V41" s="46"/>
      <c r="W41" s="46"/>
      <c r="Y41" s="53" t="s">
        <v>819</v>
      </c>
      <c r="Z41" s="53">
        <f>SUMIF(L:L,"P.S.328",N:N)</f>
        <v>124.5</v>
      </c>
      <c r="AA41" s="53">
        <f>SUMIF(O:O,"P.S.328",Q:Q)</f>
        <v>0</v>
      </c>
      <c r="AB41" s="53">
        <f>SUMIF(R:R,"P.S.328",T:T)</f>
        <v>0</v>
      </c>
      <c r="AC41" s="53">
        <f>SUMIF(U:U,"P.S.328",W:W)</f>
        <v>0</v>
      </c>
      <c r="AD41" s="53">
        <f>SUMIF(X:X,"P.S.328",Z:Z)</f>
        <v>0</v>
      </c>
      <c r="AE41" s="137">
        <f t="shared" ref="AE41" si="24">Z41+AA41+AB41+AC41+AD41</f>
        <v>124.5</v>
      </c>
    </row>
    <row r="42" spans="2:31" ht="114.75" x14ac:dyDescent="0.25">
      <c r="B42" s="59" t="s">
        <v>200</v>
      </c>
      <c r="C42" s="59" t="s">
        <v>1052</v>
      </c>
      <c r="D42" s="59" t="s">
        <v>201</v>
      </c>
      <c r="E42" s="59" t="s">
        <v>456</v>
      </c>
      <c r="F42" s="59" t="s">
        <v>539</v>
      </c>
      <c r="G42" s="59" t="s">
        <v>463</v>
      </c>
      <c r="H42" s="59" t="s">
        <v>540</v>
      </c>
      <c r="I42" s="59" t="s">
        <v>460</v>
      </c>
      <c r="J42" s="59" t="s">
        <v>461</v>
      </c>
      <c r="K42" s="59" t="s">
        <v>47</v>
      </c>
      <c r="L42" s="46" t="s">
        <v>783</v>
      </c>
      <c r="M42" s="46" t="s">
        <v>784</v>
      </c>
      <c r="N42" s="46">
        <v>1.0089999999999999</v>
      </c>
      <c r="O42" s="46" t="s">
        <v>781</v>
      </c>
      <c r="P42" s="46" t="s">
        <v>782</v>
      </c>
      <c r="Q42" s="46">
        <v>4</v>
      </c>
      <c r="R42" s="89" t="s">
        <v>778</v>
      </c>
      <c r="S42" s="46" t="s">
        <v>779</v>
      </c>
      <c r="T42" s="46">
        <v>0.23599999999999999</v>
      </c>
      <c r="U42" s="85"/>
      <c r="V42" s="85"/>
      <c r="W42" s="85"/>
      <c r="Y42" s="53" t="s">
        <v>824</v>
      </c>
      <c r="Z42" s="53">
        <f>SUMIF(L:L,"P.S.329",N:N)</f>
        <v>6069</v>
      </c>
      <c r="AA42" s="53">
        <f>SUMIF(O:O,"P.S.329",Q:Q)</f>
        <v>0</v>
      </c>
      <c r="AB42" s="53">
        <f>SUMIF(R:R,"P.S.329",T:T)</f>
        <v>0</v>
      </c>
      <c r="AC42" s="53">
        <f>SUMIF(U:U,"P.S.329",W:W)</f>
        <v>0</v>
      </c>
      <c r="AD42" s="53">
        <f>SUMIF(X:X,"P.S.329",Z:Z)</f>
        <v>0</v>
      </c>
      <c r="AE42" s="137">
        <f t="shared" ref="AE42" si="25">Z42+AA42+AB42+AC42+AD42</f>
        <v>6069</v>
      </c>
    </row>
    <row r="43" spans="2:31" ht="89.25" x14ac:dyDescent="0.25">
      <c r="B43" s="59" t="s">
        <v>202</v>
      </c>
      <c r="C43" s="59" t="s">
        <v>1053</v>
      </c>
      <c r="D43" s="59" t="s">
        <v>203</v>
      </c>
      <c r="E43" s="59" t="s">
        <v>541</v>
      </c>
      <c r="F43" s="59" t="s">
        <v>539</v>
      </c>
      <c r="G43" s="59" t="s">
        <v>542</v>
      </c>
      <c r="H43" s="59" t="s">
        <v>540</v>
      </c>
      <c r="I43" s="59" t="s">
        <v>460</v>
      </c>
      <c r="J43" s="59" t="s">
        <v>461</v>
      </c>
      <c r="K43" s="59" t="s">
        <v>47</v>
      </c>
      <c r="L43" s="46" t="s">
        <v>783</v>
      </c>
      <c r="M43" s="46" t="s">
        <v>784</v>
      </c>
      <c r="N43" s="46">
        <v>1.23</v>
      </c>
      <c r="O43" s="46" t="s">
        <v>781</v>
      </c>
      <c r="P43" s="46" t="s">
        <v>782</v>
      </c>
      <c r="Q43" s="46">
        <v>1</v>
      </c>
      <c r="R43" s="46"/>
      <c r="S43" s="46"/>
      <c r="T43" s="46"/>
      <c r="U43" s="46"/>
      <c r="V43" s="46"/>
      <c r="W43" s="46"/>
      <c r="Y43" s="53" t="s">
        <v>806</v>
      </c>
      <c r="Z43" s="53">
        <f>SUMIF(L:L,"P.S.333",N:N)</f>
        <v>25.76</v>
      </c>
      <c r="AA43" s="53">
        <f>SUMIF(O:O,"P.S.333",Q:Q)</f>
        <v>0</v>
      </c>
      <c r="AB43" s="53">
        <f>SUMIF(R:R,"P.S.333",T:T)</f>
        <v>0.107</v>
      </c>
      <c r="AC43" s="53">
        <f>SUMIF(U:U,"P.S.333",W:W)</f>
        <v>2.81</v>
      </c>
      <c r="AD43" s="53">
        <f>SUMIF(X:X,"P.S.333",Z:Z)</f>
        <v>0</v>
      </c>
      <c r="AE43" s="137">
        <f t="shared" ref="AE43" si="26">Z43+AA43+AB43+AC43+AD43</f>
        <v>28.677</v>
      </c>
    </row>
    <row r="44" spans="2:31" ht="63.75" x14ac:dyDescent="0.25">
      <c r="B44" s="59" t="s">
        <v>204</v>
      </c>
      <c r="C44" s="59" t="s">
        <v>1054</v>
      </c>
      <c r="D44" s="59" t="s">
        <v>205</v>
      </c>
      <c r="E44" s="59" t="s">
        <v>471</v>
      </c>
      <c r="F44" s="59" t="s">
        <v>539</v>
      </c>
      <c r="G44" s="59" t="s">
        <v>472</v>
      </c>
      <c r="H44" s="59" t="s">
        <v>540</v>
      </c>
      <c r="I44" s="59" t="s">
        <v>460</v>
      </c>
      <c r="J44" s="59" t="s">
        <v>461</v>
      </c>
      <c r="K44" s="59" t="s">
        <v>47</v>
      </c>
      <c r="L44" s="46" t="s">
        <v>783</v>
      </c>
      <c r="M44" s="46" t="s">
        <v>784</v>
      </c>
      <c r="N44" s="46">
        <v>0.71</v>
      </c>
      <c r="O44" s="46" t="s">
        <v>781</v>
      </c>
      <c r="P44" s="46" t="s">
        <v>782</v>
      </c>
      <c r="Q44" s="46">
        <v>1</v>
      </c>
      <c r="R44" s="46"/>
      <c r="S44" s="46"/>
      <c r="T44" s="46"/>
      <c r="U44" s="46"/>
      <c r="V44" s="46"/>
      <c r="W44" s="46"/>
      <c r="Y44" s="53" t="s">
        <v>798</v>
      </c>
      <c r="Z44" s="53">
        <f>SUMIF(L:L,"P.S.335",N:N)</f>
        <v>4</v>
      </c>
      <c r="AA44" s="53">
        <f>SUMIF(O:O,"P.S.335",Q:Q)</f>
        <v>0</v>
      </c>
      <c r="AB44" s="53">
        <f>SUMIF(R:R,"P.S.335",T:T)</f>
        <v>0</v>
      </c>
      <c r="AC44" s="53">
        <f>SUMIF(U:U,"P.S.335",W:W)</f>
        <v>0</v>
      </c>
      <c r="AD44" s="53">
        <f>SUMIF(X:X,"P.S.335",Z:Z)</f>
        <v>0</v>
      </c>
      <c r="AE44" s="137">
        <f t="shared" ref="AE44" si="27">Z44+AA44+AB44+AC44+AD44</f>
        <v>4</v>
      </c>
    </row>
    <row r="45" spans="2:31" ht="89.25" x14ac:dyDescent="0.25">
      <c r="B45" s="59" t="s">
        <v>206</v>
      </c>
      <c r="C45" s="59" t="s">
        <v>1056</v>
      </c>
      <c r="D45" s="59" t="s">
        <v>543</v>
      </c>
      <c r="E45" s="59" t="s">
        <v>510</v>
      </c>
      <c r="F45" s="59" t="s">
        <v>539</v>
      </c>
      <c r="G45" s="59" t="s">
        <v>544</v>
      </c>
      <c r="H45" s="59" t="s">
        <v>540</v>
      </c>
      <c r="I45" s="59" t="s">
        <v>460</v>
      </c>
      <c r="J45" s="59" t="s">
        <v>461</v>
      </c>
      <c r="K45" s="59" t="s">
        <v>47</v>
      </c>
      <c r="L45" s="46" t="s">
        <v>783</v>
      </c>
      <c r="M45" s="46" t="s">
        <v>784</v>
      </c>
      <c r="N45" s="46">
        <v>0.8</v>
      </c>
      <c r="O45" s="46" t="s">
        <v>781</v>
      </c>
      <c r="P45" s="46" t="s">
        <v>782</v>
      </c>
      <c r="Q45" s="46">
        <v>1</v>
      </c>
      <c r="R45" s="46"/>
      <c r="S45" s="46"/>
      <c r="T45" s="46"/>
      <c r="U45" s="46"/>
      <c r="V45" s="46"/>
      <c r="W45" s="46"/>
      <c r="Y45" s="53" t="s">
        <v>835</v>
      </c>
      <c r="Z45" s="53">
        <f>SUMIF(L:L,"P.S.338",N:N)</f>
        <v>5</v>
      </c>
      <c r="AA45" s="53">
        <f>SUMIF(O:O,"P.S.338",Q:Q)</f>
        <v>1</v>
      </c>
      <c r="AB45" s="53">
        <f>SUMIF(R:R,"P.S.338",T:T)</f>
        <v>0</v>
      </c>
      <c r="AC45" s="53">
        <f>SUMIF(U:U,"P.S.338",W:W)</f>
        <v>0</v>
      </c>
      <c r="AD45" s="53">
        <f>SUMIF(X:X,"P.S.338",Z:Z)</f>
        <v>0</v>
      </c>
      <c r="AE45" s="137">
        <f t="shared" ref="AE45" si="28">Z45+AA45+AB45+AC45+AD45</f>
        <v>6</v>
      </c>
    </row>
    <row r="46" spans="2:31" ht="63.75" x14ac:dyDescent="0.25">
      <c r="B46" s="59" t="s">
        <v>208</v>
      </c>
      <c r="C46" s="59" t="s">
        <v>554</v>
      </c>
      <c r="D46" s="59" t="s">
        <v>209</v>
      </c>
      <c r="E46" s="59" t="s">
        <v>506</v>
      </c>
      <c r="F46" s="59" t="s">
        <v>539</v>
      </c>
      <c r="G46" s="59" t="s">
        <v>546</v>
      </c>
      <c r="H46" s="59" t="s">
        <v>540</v>
      </c>
      <c r="I46" s="59" t="s">
        <v>460</v>
      </c>
      <c r="J46" s="59" t="s">
        <v>461</v>
      </c>
      <c r="K46" s="59" t="s">
        <v>47</v>
      </c>
      <c r="L46" s="46" t="s">
        <v>783</v>
      </c>
      <c r="M46" s="46" t="s">
        <v>785</v>
      </c>
      <c r="N46" s="46">
        <v>1.36</v>
      </c>
      <c r="O46" s="46"/>
      <c r="P46" s="46"/>
      <c r="Q46" s="46"/>
      <c r="R46" s="46"/>
      <c r="S46" s="46"/>
      <c r="T46" s="46"/>
      <c r="U46" s="46"/>
      <c r="V46" s="46"/>
      <c r="W46" s="46"/>
      <c r="Y46" s="53" t="s">
        <v>781</v>
      </c>
      <c r="Z46" s="53">
        <f>SUMIF(L:L,"P.S.342",N:N)</f>
        <v>3</v>
      </c>
      <c r="AA46" s="53">
        <f>SUMIF(O:O,"P.S.342",Q:Q)</f>
        <v>9</v>
      </c>
      <c r="AB46" s="53">
        <f>SUMIF(R:R,"P.S.342",T:T)</f>
        <v>0</v>
      </c>
      <c r="AC46" s="53">
        <f>SUMIF(U:U,"P.S.342",W:W)</f>
        <v>0</v>
      </c>
      <c r="AD46" s="53">
        <f>SUMIF(X:X,"P.S.342",Z:Z)</f>
        <v>0</v>
      </c>
      <c r="AE46" s="137">
        <f t="shared" ref="AE46" si="29">Z46+AA46+AB46+AC46+AD46</f>
        <v>12</v>
      </c>
    </row>
    <row r="47" spans="2:31" ht="89.25" x14ac:dyDescent="0.25">
      <c r="B47" s="59" t="s">
        <v>210</v>
      </c>
      <c r="C47" s="59" t="s">
        <v>555</v>
      </c>
      <c r="D47" s="59" t="s">
        <v>211</v>
      </c>
      <c r="E47" s="59" t="s">
        <v>541</v>
      </c>
      <c r="F47" s="59" t="s">
        <v>539</v>
      </c>
      <c r="G47" s="59" t="s">
        <v>542</v>
      </c>
      <c r="H47" s="59" t="s">
        <v>540</v>
      </c>
      <c r="I47" s="59" t="s">
        <v>460</v>
      </c>
      <c r="J47" s="59" t="s">
        <v>461</v>
      </c>
      <c r="K47" s="59" t="s">
        <v>47</v>
      </c>
      <c r="L47" s="46" t="s">
        <v>783</v>
      </c>
      <c r="M47" s="46" t="s">
        <v>784</v>
      </c>
      <c r="N47" s="46">
        <v>0.13800000000000001</v>
      </c>
      <c r="O47" s="46"/>
      <c r="P47" s="46"/>
      <c r="Q47" s="46"/>
      <c r="R47" s="46"/>
      <c r="S47" s="46"/>
      <c r="T47" s="46"/>
      <c r="U47" s="46"/>
      <c r="V47" s="46"/>
      <c r="W47" s="46"/>
      <c r="Y47" s="53" t="s">
        <v>862</v>
      </c>
      <c r="Z47" s="53">
        <f>SUMIF(L:L,"P.S.361",N:N)</f>
        <v>4</v>
      </c>
      <c r="AA47" s="53">
        <f>SUMIF(O:O,"P.S.361",Q:Q)</f>
        <v>0</v>
      </c>
      <c r="AB47" s="53">
        <f>SUMIF(R:R,"P.S.361",T:T)</f>
        <v>0</v>
      </c>
      <c r="AC47" s="53">
        <f>SUMIF(U:U,"P.S.361",W:W)</f>
        <v>0</v>
      </c>
      <c r="AD47" s="53">
        <f>SUMIF(X:X,"P.S.361",Z:Z)</f>
        <v>0</v>
      </c>
      <c r="AE47" s="137">
        <f t="shared" ref="AE47" si="30">Z47+AA47+AB47+AC47+AD47</f>
        <v>4</v>
      </c>
    </row>
    <row r="48" spans="2:31" ht="114.75" x14ac:dyDescent="0.25">
      <c r="B48" s="54" t="s">
        <v>1033</v>
      </c>
      <c r="C48" s="59" t="s">
        <v>1055</v>
      </c>
      <c r="D48" s="59" t="s">
        <v>1040</v>
      </c>
      <c r="E48" s="54" t="s">
        <v>456</v>
      </c>
      <c r="F48" s="54" t="s">
        <v>539</v>
      </c>
      <c r="G48" s="54" t="s">
        <v>463</v>
      </c>
      <c r="H48" s="54" t="s">
        <v>540</v>
      </c>
      <c r="I48" s="54" t="s">
        <v>460</v>
      </c>
      <c r="J48" s="54" t="s">
        <v>461</v>
      </c>
      <c r="K48" s="54" t="s">
        <v>47</v>
      </c>
      <c r="L48" s="46" t="s">
        <v>783</v>
      </c>
      <c r="M48" s="46" t="s">
        <v>784</v>
      </c>
      <c r="N48" s="145">
        <v>1.2</v>
      </c>
      <c r="O48" s="46" t="s">
        <v>781</v>
      </c>
      <c r="P48" s="46" t="s">
        <v>782</v>
      </c>
      <c r="Q48" s="46">
        <v>1</v>
      </c>
      <c r="R48" s="46"/>
      <c r="S48" s="46"/>
      <c r="T48" s="46"/>
      <c r="U48" s="46"/>
      <c r="V48" s="46"/>
      <c r="W48" s="46"/>
      <c r="AE48" s="137"/>
    </row>
    <row r="49" spans="2:31" ht="51" x14ac:dyDescent="0.25">
      <c r="B49" s="54" t="s">
        <v>1034</v>
      </c>
      <c r="C49" s="54" t="s">
        <v>1041</v>
      </c>
      <c r="D49" s="46" t="s">
        <v>1038</v>
      </c>
      <c r="E49" s="46" t="s">
        <v>503</v>
      </c>
      <c r="F49" s="46" t="s">
        <v>539</v>
      </c>
      <c r="G49" s="46" t="s">
        <v>504</v>
      </c>
      <c r="H49" s="46" t="s">
        <v>540</v>
      </c>
      <c r="I49" s="46" t="s">
        <v>460</v>
      </c>
      <c r="J49" s="46" t="s">
        <v>461</v>
      </c>
      <c r="K49" s="46" t="s">
        <v>47</v>
      </c>
      <c r="L49" s="46" t="s">
        <v>783</v>
      </c>
      <c r="M49" s="46" t="s">
        <v>784</v>
      </c>
      <c r="N49" s="145">
        <v>0.2</v>
      </c>
      <c r="O49" s="46"/>
      <c r="P49" s="46"/>
      <c r="Q49" s="46"/>
      <c r="R49" s="46"/>
      <c r="S49" s="145"/>
      <c r="T49" s="46"/>
      <c r="U49" s="46"/>
      <c r="V49" s="46"/>
      <c r="W49" s="46"/>
      <c r="AE49" s="137"/>
    </row>
    <row r="50" spans="2:31" ht="51" x14ac:dyDescent="0.25">
      <c r="B50" s="54" t="s">
        <v>1035</v>
      </c>
      <c r="C50" s="54" t="s">
        <v>1042</v>
      </c>
      <c r="D50" s="46" t="s">
        <v>1039</v>
      </c>
      <c r="E50" s="46" t="s">
        <v>503</v>
      </c>
      <c r="F50" s="46" t="s">
        <v>539</v>
      </c>
      <c r="G50" s="46" t="s">
        <v>504</v>
      </c>
      <c r="H50" s="46" t="s">
        <v>540</v>
      </c>
      <c r="I50" s="46" t="s">
        <v>460</v>
      </c>
      <c r="J50" s="46" t="s">
        <v>47</v>
      </c>
      <c r="K50" s="46" t="s">
        <v>47</v>
      </c>
      <c r="L50" s="46" t="s">
        <v>781</v>
      </c>
      <c r="M50" s="46" t="s">
        <v>782</v>
      </c>
      <c r="N50" s="46">
        <v>1</v>
      </c>
      <c r="O50" s="46"/>
      <c r="P50" s="46"/>
      <c r="Q50" s="46"/>
      <c r="R50" s="46"/>
      <c r="S50" s="46"/>
      <c r="T50" s="46"/>
      <c r="U50" s="46"/>
      <c r="V50" s="46"/>
      <c r="W50" s="46"/>
      <c r="AE50" s="137"/>
    </row>
    <row r="51" spans="2:31" ht="51" x14ac:dyDescent="0.25">
      <c r="B51" s="54" t="s">
        <v>1036</v>
      </c>
      <c r="C51" s="54" t="s">
        <v>1045</v>
      </c>
      <c r="D51" s="46" t="s">
        <v>1044</v>
      </c>
      <c r="E51" s="46" t="s">
        <v>471</v>
      </c>
      <c r="F51" s="46" t="s">
        <v>539</v>
      </c>
      <c r="G51" s="46" t="s">
        <v>472</v>
      </c>
      <c r="H51" s="46" t="s">
        <v>540</v>
      </c>
      <c r="I51" s="46" t="s">
        <v>460</v>
      </c>
      <c r="J51" s="46" t="s">
        <v>47</v>
      </c>
      <c r="K51" s="46" t="s">
        <v>47</v>
      </c>
      <c r="L51" s="46" t="s">
        <v>781</v>
      </c>
      <c r="M51" s="46" t="s">
        <v>782</v>
      </c>
      <c r="N51" s="46">
        <v>1</v>
      </c>
      <c r="O51" s="46"/>
      <c r="P51" s="46"/>
      <c r="Q51" s="46"/>
      <c r="R51" s="46"/>
      <c r="S51" s="46"/>
      <c r="T51" s="46"/>
      <c r="U51" s="46"/>
      <c r="V51" s="46"/>
      <c r="W51" s="46"/>
      <c r="AE51" s="137"/>
    </row>
    <row r="52" spans="2:31" ht="51" x14ac:dyDescent="0.25">
      <c r="B52" s="54" t="s">
        <v>1037</v>
      </c>
      <c r="C52" s="54" t="s">
        <v>1049</v>
      </c>
      <c r="D52" s="59" t="s">
        <v>1048</v>
      </c>
      <c r="E52" s="59" t="s">
        <v>541</v>
      </c>
      <c r="F52" s="59" t="s">
        <v>539</v>
      </c>
      <c r="G52" s="59" t="s">
        <v>542</v>
      </c>
      <c r="H52" s="59" t="s">
        <v>540</v>
      </c>
      <c r="I52" s="59" t="s">
        <v>460</v>
      </c>
      <c r="J52" s="59" t="s">
        <v>47</v>
      </c>
      <c r="K52" s="59" t="s">
        <v>47</v>
      </c>
      <c r="L52" s="46" t="s">
        <v>781</v>
      </c>
      <c r="M52" s="46" t="s">
        <v>782</v>
      </c>
      <c r="N52" s="46">
        <v>1</v>
      </c>
      <c r="O52" s="46"/>
      <c r="P52" s="46"/>
      <c r="Q52" s="46"/>
      <c r="R52" s="46"/>
      <c r="S52" s="46"/>
      <c r="T52" s="46"/>
      <c r="U52" s="46"/>
      <c r="V52" s="46"/>
      <c r="W52" s="46"/>
      <c r="AE52" s="137"/>
    </row>
    <row r="53" spans="2:31" ht="113.25" hidden="1" customHeight="1" x14ac:dyDescent="0.25">
      <c r="B53" s="117" t="s">
        <v>212</v>
      </c>
      <c r="C53" s="37"/>
      <c r="D53" s="37" t="s">
        <v>213</v>
      </c>
      <c r="E53" s="117"/>
      <c r="F53" s="37"/>
      <c r="G53" s="37"/>
      <c r="H53" s="117"/>
      <c r="I53" s="37"/>
      <c r="J53" s="37"/>
      <c r="K53" s="117"/>
      <c r="L53" s="140"/>
      <c r="M53" s="140"/>
      <c r="N53" s="141"/>
      <c r="O53" s="140"/>
      <c r="P53" s="140"/>
      <c r="Q53" s="141"/>
      <c r="R53" s="140"/>
      <c r="S53" s="140"/>
      <c r="T53" s="141"/>
      <c r="U53" s="140"/>
      <c r="V53" s="140"/>
      <c r="W53" s="141"/>
      <c r="Y53" s="53" t="s">
        <v>868</v>
      </c>
      <c r="Z53" s="53">
        <f>SUMIF(L:L,"P.S.362",N:N)</f>
        <v>95</v>
      </c>
      <c r="AA53" s="53">
        <f>SUMIF(O:O,"P.S.362",Q:Q)</f>
        <v>0</v>
      </c>
      <c r="AB53" s="53">
        <f>SUMIF(R:R,"P.S.362",T:T)</f>
        <v>0</v>
      </c>
      <c r="AC53" s="53">
        <f>SUMIF(U:U,"P.S.362",W:W)</f>
        <v>0</v>
      </c>
      <c r="AD53" s="53">
        <f>SUMIF(X:X,"P.S.362",Z:Z)</f>
        <v>0</v>
      </c>
      <c r="AE53" s="137">
        <f t="shared" ref="AE53" si="31">Z53+AA53+AB53+AC53+AD53</f>
        <v>95</v>
      </c>
    </row>
    <row r="54" spans="2:31" ht="51" hidden="1" x14ac:dyDescent="0.25">
      <c r="B54" s="60" t="s">
        <v>214</v>
      </c>
      <c r="C54" s="60"/>
      <c r="D54" s="60" t="s">
        <v>215</v>
      </c>
      <c r="E54" s="60"/>
      <c r="F54" s="60"/>
      <c r="G54" s="60"/>
      <c r="H54" s="60"/>
      <c r="I54" s="60"/>
      <c r="J54" s="60"/>
      <c r="K54" s="60"/>
      <c r="L54" s="142"/>
      <c r="M54" s="142"/>
      <c r="N54" s="142"/>
      <c r="O54" s="142"/>
      <c r="P54" s="142"/>
      <c r="Q54" s="142"/>
      <c r="R54" s="142"/>
      <c r="S54" s="142"/>
      <c r="T54" s="142"/>
      <c r="U54" s="142"/>
      <c r="V54" s="142"/>
      <c r="W54" s="142"/>
      <c r="Y54" s="53" t="s">
        <v>774</v>
      </c>
      <c r="Z54" s="53">
        <f>SUMIF(L:L,"P.S.364",N:N)</f>
        <v>34500</v>
      </c>
      <c r="AA54" s="53">
        <f>SUMIF(O:O,"P.S.364",Q:Q)</f>
        <v>0</v>
      </c>
      <c r="AB54" s="53">
        <f>SUMIF(R:R,"P.S.364",T:T)</f>
        <v>0</v>
      </c>
      <c r="AC54" s="53">
        <f>SUMIF(U:U,"P.S.364",W:W)</f>
        <v>0</v>
      </c>
      <c r="AD54" s="53">
        <f>SUMIF(X:X,"P.S.364",Z:Z)</f>
        <v>0</v>
      </c>
      <c r="AE54" s="137">
        <f t="shared" ref="AE54" si="32">Z54+AA54+AB54+AC54+AD54</f>
        <v>34500</v>
      </c>
    </row>
    <row r="55" spans="2:31" ht="114" hidden="1" customHeight="1" x14ac:dyDescent="0.25">
      <c r="B55" s="59" t="s">
        <v>216</v>
      </c>
      <c r="C55" s="59" t="s">
        <v>563</v>
      </c>
      <c r="D55" s="59" t="s">
        <v>1058</v>
      </c>
      <c r="E55" s="59" t="s">
        <v>503</v>
      </c>
      <c r="F55" s="59" t="s">
        <v>539</v>
      </c>
      <c r="G55" s="59" t="s">
        <v>534</v>
      </c>
      <c r="H55" s="59" t="s">
        <v>559</v>
      </c>
      <c r="I55" s="59" t="s">
        <v>460</v>
      </c>
      <c r="J55" s="59" t="s">
        <v>461</v>
      </c>
      <c r="K55" s="59" t="s">
        <v>47</v>
      </c>
      <c r="L55" s="46" t="s">
        <v>786</v>
      </c>
      <c r="M55" s="46" t="s">
        <v>787</v>
      </c>
      <c r="N55" s="46">
        <v>0.88</v>
      </c>
      <c r="O55" s="46"/>
      <c r="P55" s="46"/>
      <c r="Q55" s="46"/>
      <c r="R55" s="46"/>
      <c r="S55" s="46"/>
      <c r="T55" s="46"/>
      <c r="U55" s="46"/>
      <c r="V55" s="46"/>
      <c r="W55" s="46"/>
      <c r="Y55" s="53" t="s">
        <v>776</v>
      </c>
      <c r="Z55" s="53">
        <f>SUMIF(L:L,"P.S.365",N:N)</f>
        <v>0</v>
      </c>
      <c r="AA55" s="53">
        <f>SUMIF(O:O,"P.S.365",Q:Q)</f>
        <v>58</v>
      </c>
      <c r="AB55" s="53">
        <f>SUMIF(R:R,"P.S.365",T:T)</f>
        <v>0</v>
      </c>
      <c r="AC55" s="53">
        <f>SUMIF(U:U,"P.S.365",W:W)</f>
        <v>0</v>
      </c>
      <c r="AD55" s="53">
        <f>SUMIF(X:X,"P.S.365",Z:Z)</f>
        <v>0</v>
      </c>
      <c r="AE55" s="137">
        <f t="shared" ref="AE55" si="33">Z55+AA55+AB55+AC55+AD55</f>
        <v>58</v>
      </c>
    </row>
    <row r="56" spans="2:31" ht="107.25" hidden="1" customHeight="1" x14ac:dyDescent="0.25">
      <c r="B56" s="59" t="s">
        <v>217</v>
      </c>
      <c r="C56" s="59" t="s">
        <v>564</v>
      </c>
      <c r="D56" s="59" t="s">
        <v>218</v>
      </c>
      <c r="E56" s="59" t="s">
        <v>471</v>
      </c>
      <c r="F56" s="59" t="s">
        <v>539</v>
      </c>
      <c r="G56" s="59" t="s">
        <v>472</v>
      </c>
      <c r="H56" s="59" t="s">
        <v>559</v>
      </c>
      <c r="I56" s="59" t="s">
        <v>460</v>
      </c>
      <c r="J56" s="59" t="s">
        <v>461</v>
      </c>
      <c r="K56" s="59" t="s">
        <v>47</v>
      </c>
      <c r="L56" s="46" t="s">
        <v>786</v>
      </c>
      <c r="M56" s="46" t="s">
        <v>788</v>
      </c>
      <c r="N56" s="46">
        <v>0.18</v>
      </c>
      <c r="O56" s="46" t="s">
        <v>789</v>
      </c>
      <c r="P56" s="46" t="s">
        <v>790</v>
      </c>
      <c r="Q56" s="46">
        <v>0.8</v>
      </c>
      <c r="R56" s="46"/>
      <c r="S56" s="46"/>
      <c r="T56" s="46"/>
      <c r="U56" s="46"/>
      <c r="V56" s="46"/>
      <c r="W56" s="46"/>
      <c r="Y56" s="53" t="s">
        <v>853</v>
      </c>
      <c r="Z56" s="53">
        <f>SUMIF(L:L,"P.S.372",N:N)</f>
        <v>8875</v>
      </c>
      <c r="AA56" s="53">
        <f>SUMIF(O:O,"P.S.372",Q:Q)</f>
        <v>0</v>
      </c>
      <c r="AB56" s="53">
        <f>SUMIF(R:R,"P.S.372",T:T)</f>
        <v>0</v>
      </c>
      <c r="AC56" s="53">
        <f>SUMIF(U:U,"P.S.372",W:W)</f>
        <v>0</v>
      </c>
      <c r="AD56" s="53">
        <f>SUMIF(X:X,"P.S.372",Z:Z)</f>
        <v>0</v>
      </c>
      <c r="AE56" s="137">
        <f t="shared" ref="AE56" si="34">Z56+AA56+AB56+AC56+AD56</f>
        <v>8875</v>
      </c>
    </row>
    <row r="57" spans="2:31" ht="89.25" hidden="1" x14ac:dyDescent="0.25">
      <c r="B57" s="59" t="s">
        <v>219</v>
      </c>
      <c r="C57" s="59" t="s">
        <v>565</v>
      </c>
      <c r="D57" s="59" t="s">
        <v>556</v>
      </c>
      <c r="E57" s="59" t="s">
        <v>510</v>
      </c>
      <c r="F57" s="59" t="s">
        <v>539</v>
      </c>
      <c r="G57" s="59" t="s">
        <v>511</v>
      </c>
      <c r="H57" s="59" t="s">
        <v>559</v>
      </c>
      <c r="I57" s="59" t="s">
        <v>460</v>
      </c>
      <c r="J57" s="59" t="s">
        <v>461</v>
      </c>
      <c r="K57" s="59" t="s">
        <v>47</v>
      </c>
      <c r="L57" s="46" t="s">
        <v>789</v>
      </c>
      <c r="M57" s="46" t="s">
        <v>791</v>
      </c>
      <c r="N57" s="46">
        <v>0.8</v>
      </c>
      <c r="O57" s="46"/>
      <c r="P57" s="46"/>
      <c r="Q57" s="46"/>
      <c r="R57" s="46"/>
      <c r="S57" s="46"/>
      <c r="T57" s="46"/>
      <c r="U57" s="46"/>
      <c r="V57" s="46"/>
      <c r="W57" s="46"/>
      <c r="Y57" s="53" t="s">
        <v>928</v>
      </c>
      <c r="Z57" s="53">
        <f>SUMIF(L:L,"P.S.379",N:N)</f>
        <v>0</v>
      </c>
      <c r="AA57" s="53">
        <f>SUMIF(O:O,"P.S.379",Q:Q)</f>
        <v>0</v>
      </c>
      <c r="AB57" s="53">
        <f>SUMIF(R:R,"P.S.379",T:T)</f>
        <v>0</v>
      </c>
      <c r="AC57" s="53">
        <f>SUMIF(U:U,"P.S.379",W:W)</f>
        <v>0</v>
      </c>
      <c r="AD57" s="53">
        <f>SUMIF(X:X,"P.S.379",Z:Z)</f>
        <v>0</v>
      </c>
      <c r="AE57" s="137">
        <f t="shared" ref="AE57" si="35">Z57+AA57+AB57+AC57+AD57</f>
        <v>0</v>
      </c>
    </row>
    <row r="58" spans="2:31" ht="68.25" hidden="1" customHeight="1" x14ac:dyDescent="0.25">
      <c r="B58" s="59" t="s">
        <v>558</v>
      </c>
      <c r="C58" s="59" t="s">
        <v>566</v>
      </c>
      <c r="D58" s="59" t="s">
        <v>557</v>
      </c>
      <c r="E58" s="59" t="s">
        <v>474</v>
      </c>
      <c r="F58" s="59" t="s">
        <v>560</v>
      </c>
      <c r="G58" s="59" t="s">
        <v>475</v>
      </c>
      <c r="H58" s="59" t="s">
        <v>559</v>
      </c>
      <c r="I58" s="59" t="s">
        <v>468</v>
      </c>
      <c r="J58" s="59" t="s">
        <v>469</v>
      </c>
      <c r="K58" s="59" t="s">
        <v>470</v>
      </c>
      <c r="L58" s="46" t="s">
        <v>786</v>
      </c>
      <c r="M58" s="46" t="s">
        <v>787</v>
      </c>
      <c r="N58" s="46">
        <v>0.5</v>
      </c>
      <c r="O58" s="46"/>
      <c r="P58" s="46"/>
      <c r="Q58" s="46"/>
      <c r="R58" s="46"/>
      <c r="S58" s="46"/>
      <c r="T58" s="46"/>
      <c r="U58" s="46"/>
      <c r="V58" s="46"/>
      <c r="W58" s="46"/>
      <c r="Y58" s="53" t="s">
        <v>872</v>
      </c>
      <c r="Z58" s="53">
        <f>SUMIF(L:L,"P.S.415",N:N)</f>
        <v>38</v>
      </c>
      <c r="AA58" s="53">
        <f>SUMIF(O:O,"P.S.415",Q:Q)</f>
        <v>0</v>
      </c>
      <c r="AB58" s="53">
        <f>SUMIF(R:R,"P.S.415",T:T)</f>
        <v>0</v>
      </c>
      <c r="AC58" s="53">
        <f>SUMIF(U:U,"P.S.415",W:W)</f>
        <v>0</v>
      </c>
      <c r="AD58" s="53">
        <f>SUMIF(X:X,"P.S.415",Z:Z)</f>
        <v>0</v>
      </c>
      <c r="AE58" s="137">
        <f t="shared" ref="AE58" si="36">Z58+AA58+AB58+AC58+AD58</f>
        <v>38</v>
      </c>
    </row>
    <row r="59" spans="2:31" ht="38.25" hidden="1" x14ac:dyDescent="0.25">
      <c r="B59" s="60" t="s">
        <v>223</v>
      </c>
      <c r="C59" s="60"/>
      <c r="D59" s="60" t="s">
        <v>224</v>
      </c>
      <c r="E59" s="60"/>
      <c r="F59" s="60"/>
      <c r="G59" s="60"/>
      <c r="H59" s="60"/>
      <c r="I59" s="60"/>
      <c r="J59" s="60"/>
      <c r="K59" s="60"/>
      <c r="L59" s="142"/>
      <c r="M59" s="142"/>
      <c r="N59" s="142"/>
      <c r="O59" s="142"/>
      <c r="P59" s="142"/>
      <c r="Q59" s="142"/>
      <c r="R59" s="142"/>
      <c r="S59" s="142"/>
      <c r="T59" s="142"/>
      <c r="U59" s="142"/>
      <c r="V59" s="142"/>
      <c r="W59" s="142"/>
      <c r="Y59" s="53" t="s">
        <v>874</v>
      </c>
      <c r="Z59" s="53">
        <f>SUMIF(L:L,"P.S.416",N:N)</f>
        <v>0</v>
      </c>
      <c r="AA59" s="53">
        <f>SUMIF(O:O,"P.S.416",Q:Q)</f>
        <v>125</v>
      </c>
      <c r="AB59" s="53">
        <f>SUMIF(R:R,"P.S.416",T:T)</f>
        <v>0</v>
      </c>
      <c r="AC59" s="53">
        <f>SUMIF(U:U,"P.S.416",W:W)</f>
        <v>0</v>
      </c>
      <c r="AD59" s="53">
        <f>SUMIF(X:X,"P.S.416",Z:Z)</f>
        <v>0</v>
      </c>
      <c r="AE59" s="137">
        <f t="shared" ref="AE59" si="37">Z59+AA59+AB59+AC59+AD59</f>
        <v>125</v>
      </c>
    </row>
    <row r="60" spans="2:31" hidden="1" x14ac:dyDescent="0.25">
      <c r="B60" s="59"/>
      <c r="C60" s="59"/>
      <c r="D60" s="59"/>
      <c r="E60" s="59"/>
      <c r="F60" s="59"/>
      <c r="G60" s="59"/>
      <c r="H60" s="59"/>
      <c r="I60" s="59"/>
      <c r="J60" s="59"/>
      <c r="K60" s="59"/>
      <c r="L60" s="46"/>
      <c r="M60" s="46"/>
      <c r="N60" s="46"/>
      <c r="O60" s="46"/>
      <c r="P60" s="46"/>
      <c r="Q60" s="46"/>
      <c r="R60" s="46"/>
      <c r="S60" s="46"/>
      <c r="T60" s="46"/>
      <c r="U60" s="46"/>
      <c r="V60" s="46"/>
      <c r="W60" s="46"/>
      <c r="Y60" s="53" t="s">
        <v>833</v>
      </c>
      <c r="Z60" s="53">
        <f>SUMIF(L:L,"R.N.091",N:N)</f>
        <v>20.59</v>
      </c>
      <c r="AA60" s="53">
        <f>SUMIF(O:O,"R.N.091",Q:Q)</f>
        <v>100.5</v>
      </c>
      <c r="AB60" s="53">
        <f>SUMIF(R:R,"R.N.091",T:T)</f>
        <v>10</v>
      </c>
      <c r="AC60" s="53">
        <f>SUMIF(U:U,"R.N.091",W:W)</f>
        <v>0</v>
      </c>
      <c r="AD60" s="53">
        <f>SUMIF(X:X,"R.N.091",Z:Z)</f>
        <v>0</v>
      </c>
      <c r="AE60" s="137">
        <f t="shared" ref="AE60" si="38">Z60+AA60+AB60+AC60+AD60</f>
        <v>131.09</v>
      </c>
    </row>
    <row r="61" spans="2:31" ht="42" hidden="1" customHeight="1" x14ac:dyDescent="0.25">
      <c r="B61" s="54" t="s">
        <v>225</v>
      </c>
      <c r="C61" s="54" t="s">
        <v>1023</v>
      </c>
      <c r="D61" s="54" t="s">
        <v>226</v>
      </c>
      <c r="E61" s="54" t="s">
        <v>506</v>
      </c>
      <c r="F61" s="54" t="s">
        <v>539</v>
      </c>
      <c r="G61" s="54" t="s">
        <v>546</v>
      </c>
      <c r="H61" s="54" t="s">
        <v>568</v>
      </c>
      <c r="I61" s="54" t="s">
        <v>509</v>
      </c>
      <c r="J61" s="54" t="s">
        <v>461</v>
      </c>
      <c r="K61" s="54" t="s">
        <v>47</v>
      </c>
      <c r="L61" s="89" t="s">
        <v>794</v>
      </c>
      <c r="M61" s="89" t="s">
        <v>795</v>
      </c>
      <c r="N61" s="89">
        <v>1</v>
      </c>
      <c r="O61" s="89"/>
      <c r="P61" s="89"/>
      <c r="Q61" s="89"/>
      <c r="R61" s="89"/>
      <c r="S61" s="89"/>
      <c r="T61" s="89"/>
      <c r="U61" s="89"/>
      <c r="V61" s="89"/>
      <c r="W61" s="89"/>
      <c r="Y61" s="53" t="s">
        <v>866</v>
      </c>
      <c r="Z61" s="53">
        <f>SUMIF(L:L,"R.N.404",N:N)</f>
        <v>0</v>
      </c>
      <c r="AA61" s="53">
        <f>SUMIF(O:O,"R.N.404",Q:Q)</f>
        <v>0</v>
      </c>
      <c r="AB61" s="53">
        <f>SUMIF(R:R,"R.N.404",T:T)</f>
        <v>98</v>
      </c>
      <c r="AC61" s="53">
        <f>SUMIF(U:U,"R.N.404",W:W)</f>
        <v>0</v>
      </c>
      <c r="AD61" s="53">
        <f>SUMIF(X:X,"R.N.404",Z:Z)</f>
        <v>0</v>
      </c>
      <c r="AE61" s="137">
        <f t="shared" ref="AE61" si="39">Z61+AA61+AB61+AC61+AD61</f>
        <v>98</v>
      </c>
    </row>
    <row r="62" spans="2:31" ht="49.5" hidden="1" customHeight="1" x14ac:dyDescent="0.25">
      <c r="B62" s="54" t="s">
        <v>227</v>
      </c>
      <c r="C62" s="54" t="s">
        <v>577</v>
      </c>
      <c r="D62" s="54" t="s">
        <v>570</v>
      </c>
      <c r="E62" s="54" t="s">
        <v>506</v>
      </c>
      <c r="F62" s="54" t="s">
        <v>539</v>
      </c>
      <c r="G62" s="54" t="s">
        <v>507</v>
      </c>
      <c r="H62" s="54" t="s">
        <v>571</v>
      </c>
      <c r="I62" s="54" t="s">
        <v>460</v>
      </c>
      <c r="J62" s="54" t="s">
        <v>461</v>
      </c>
      <c r="K62" s="54" t="s">
        <v>47</v>
      </c>
      <c r="L62" s="89" t="s">
        <v>792</v>
      </c>
      <c r="M62" s="89" t="s">
        <v>793</v>
      </c>
      <c r="N62" s="89">
        <v>1</v>
      </c>
      <c r="O62" s="89"/>
      <c r="P62" s="89"/>
      <c r="Q62" s="89"/>
      <c r="R62" s="89"/>
      <c r="S62" s="89"/>
      <c r="T62" s="89"/>
      <c r="U62" s="89"/>
      <c r="V62" s="89"/>
      <c r="W62" s="89"/>
      <c r="Y62" s="53" t="s">
        <v>780</v>
      </c>
      <c r="Z62" s="53">
        <f>SUMIF(L:L,"R.S.342",N:N)</f>
        <v>0</v>
      </c>
      <c r="AA62" s="53">
        <f>SUMIF(O:O,"R.S.342",Q:Q)</f>
        <v>0</v>
      </c>
      <c r="AB62" s="53">
        <f>SUMIF(R:R,"R.S.342",T:T)</f>
        <v>0</v>
      </c>
      <c r="AC62" s="53">
        <f>SUMIF(U:U,"R.S.342",W:W)</f>
        <v>0</v>
      </c>
      <c r="AD62" s="53">
        <f>SUMIF(X:X,"R.S.342",Z:Z)</f>
        <v>0</v>
      </c>
      <c r="AE62" s="146">
        <f t="shared" ref="AE62" si="40">Z62+AA62+AB62+AC62+AD62</f>
        <v>0</v>
      </c>
    </row>
    <row r="63" spans="2:31" ht="47.25" hidden="1" customHeight="1" x14ac:dyDescent="0.25">
      <c r="B63" s="54" t="s">
        <v>229</v>
      </c>
      <c r="C63" s="54" t="s">
        <v>578</v>
      </c>
      <c r="D63" s="54" t="s">
        <v>230</v>
      </c>
      <c r="E63" s="54" t="s">
        <v>572</v>
      </c>
      <c r="F63" s="54" t="s">
        <v>539</v>
      </c>
      <c r="G63" s="54" t="s">
        <v>544</v>
      </c>
      <c r="H63" s="54" t="s">
        <v>573</v>
      </c>
      <c r="I63" s="54" t="s">
        <v>509</v>
      </c>
      <c r="J63" s="54" t="s">
        <v>47</v>
      </c>
      <c r="K63" s="54" t="s">
        <v>47</v>
      </c>
      <c r="L63" s="89" t="s">
        <v>794</v>
      </c>
      <c r="M63" s="89" t="s">
        <v>795</v>
      </c>
      <c r="N63" s="89">
        <v>1</v>
      </c>
      <c r="O63" s="89"/>
      <c r="P63" s="89"/>
      <c r="Q63" s="89"/>
      <c r="R63" s="89"/>
      <c r="S63" s="89"/>
      <c r="T63" s="89"/>
      <c r="U63" s="89"/>
      <c r="V63" s="89"/>
      <c r="W63" s="89"/>
      <c r="Y63" s="53" t="s">
        <v>843</v>
      </c>
      <c r="Z63" s="53">
        <f>SUMIF(L:L,"P.N.743",N:N)</f>
        <v>0</v>
      </c>
      <c r="AA63" s="53">
        <f>SUMIF(O:O,"P.N.743",Q:Q)</f>
        <v>6</v>
      </c>
      <c r="AB63" s="53">
        <f>SUMIF(R:R,"P.N.743",T:T)</f>
        <v>0</v>
      </c>
      <c r="AC63" s="53">
        <f>SUMIF(U:U,"P.N.743",W:W)</f>
        <v>0</v>
      </c>
      <c r="AD63" s="53">
        <f>SUMIF(X:X,"P.N.743",Z:Z)</f>
        <v>0</v>
      </c>
      <c r="AE63" s="137">
        <f t="shared" ref="AE63" si="41">Z63+AA63+AB63+AC63+AD63</f>
        <v>6</v>
      </c>
    </row>
    <row r="64" spans="2:31" s="98" customFormat="1" ht="49.5" hidden="1" customHeight="1" x14ac:dyDescent="0.25">
      <c r="B64" s="54" t="s">
        <v>1019</v>
      </c>
      <c r="C64" s="54" t="s">
        <v>1022</v>
      </c>
      <c r="D64" s="89" t="s">
        <v>1024</v>
      </c>
      <c r="E64" s="89" t="s">
        <v>510</v>
      </c>
      <c r="F64" s="89" t="s">
        <v>539</v>
      </c>
      <c r="G64" s="89" t="s">
        <v>544</v>
      </c>
      <c r="H64" s="89" t="s">
        <v>567</v>
      </c>
      <c r="I64" s="54" t="s">
        <v>460</v>
      </c>
      <c r="J64" s="54" t="s">
        <v>47</v>
      </c>
      <c r="K64" s="54" t="s">
        <v>47</v>
      </c>
      <c r="L64" s="89" t="s">
        <v>792</v>
      </c>
      <c r="M64" s="89" t="s">
        <v>793</v>
      </c>
      <c r="N64" s="89">
        <v>2</v>
      </c>
      <c r="O64" s="89"/>
      <c r="P64" s="89"/>
      <c r="Q64" s="89"/>
      <c r="R64" s="89"/>
      <c r="S64" s="89"/>
      <c r="T64" s="89"/>
      <c r="U64" s="89"/>
      <c r="V64" s="89"/>
      <c r="W64" s="89"/>
      <c r="Y64" s="98" t="s">
        <v>838</v>
      </c>
      <c r="Z64" s="98">
        <f>SUMIF(L:L,"P.N.094",N:N)</f>
        <v>0</v>
      </c>
      <c r="AA64" s="98">
        <f>SUMIF(O:O,"P.N.094",Q:Q)</f>
        <v>0</v>
      </c>
      <c r="AB64" s="98">
        <f>SUMIF(R:R,"P.N.094",T:T)</f>
        <v>0</v>
      </c>
      <c r="AC64" s="98">
        <f>SUMIF(U:U,"P.N.094",W:W)</f>
        <v>2</v>
      </c>
      <c r="AD64" s="98">
        <f>SUMIF(X:X,"P.N.094",Z:Z)</f>
        <v>0</v>
      </c>
      <c r="AE64" s="139">
        <f t="shared" ref="AE64" si="42">Z64+AA64+AB64+AC64+AD64</f>
        <v>2</v>
      </c>
    </row>
    <row r="65" spans="2:31" ht="63.75" hidden="1" x14ac:dyDescent="0.25">
      <c r="B65" s="60" t="s">
        <v>231</v>
      </c>
      <c r="C65" s="60"/>
      <c r="D65" s="60" t="s">
        <v>232</v>
      </c>
      <c r="E65" s="60"/>
      <c r="F65" s="60"/>
      <c r="G65" s="60"/>
      <c r="H65" s="60"/>
      <c r="I65" s="60"/>
      <c r="J65" s="60"/>
      <c r="K65" s="60"/>
      <c r="L65" s="142"/>
      <c r="M65" s="142"/>
      <c r="N65" s="142"/>
      <c r="O65" s="142"/>
      <c r="P65" s="142"/>
      <c r="Q65" s="142"/>
      <c r="R65" s="142"/>
      <c r="S65" s="142"/>
      <c r="T65" s="142"/>
      <c r="U65" s="142"/>
      <c r="V65" s="142"/>
      <c r="W65" s="142"/>
      <c r="Y65" s="53" t="s">
        <v>851</v>
      </c>
      <c r="Z65" s="53">
        <f>SUMIF(L:L,"P.N.604",N:N)</f>
        <v>101</v>
      </c>
      <c r="AA65" s="53">
        <f>SUMIF(O:O,"P.N.604",Q:Q)</f>
        <v>0</v>
      </c>
      <c r="AB65" s="53">
        <f>SUMIF(R:R,"P.N.604",T:T)</f>
        <v>0</v>
      </c>
      <c r="AC65" s="53">
        <f>SUMIF(U:U,"P.N.604",W:W)</f>
        <v>0</v>
      </c>
      <c r="AD65" s="53">
        <f>SUMIF(X:X,"P.N.604",Z:Z)</f>
        <v>0</v>
      </c>
      <c r="AE65" s="137">
        <f t="shared" ref="AE65" si="43">Z65+AA65+AB65+AC65+AD65</f>
        <v>101</v>
      </c>
    </row>
    <row r="66" spans="2:31" ht="19.5" hidden="1" customHeight="1" x14ac:dyDescent="0.25">
      <c r="B66" s="59"/>
      <c r="C66" s="59"/>
      <c r="D66" s="59"/>
      <c r="E66" s="59"/>
      <c r="F66" s="59"/>
      <c r="G66" s="59"/>
      <c r="H66" s="59"/>
      <c r="I66" s="59"/>
      <c r="J66" s="59"/>
      <c r="K66" s="59"/>
      <c r="L66" s="46"/>
      <c r="M66" s="46"/>
      <c r="N66" s="46"/>
      <c r="O66" s="46"/>
      <c r="P66" s="46"/>
      <c r="Q66" s="46"/>
      <c r="R66" s="46"/>
      <c r="S66" s="46"/>
      <c r="T66" s="46"/>
      <c r="U66" s="46"/>
      <c r="V66" s="46"/>
      <c r="W66" s="46"/>
      <c r="Y66" s="53" t="s">
        <v>940</v>
      </c>
      <c r="Z66" s="53">
        <f>SUMIF(L:L,"P.S.303",N:N)</f>
        <v>9</v>
      </c>
      <c r="AA66" s="53">
        <f>SUMIF(O:O,"P.S.303",Q:Q)</f>
        <v>0</v>
      </c>
      <c r="AB66" s="53">
        <f>SUMIF(R:R,"P.S.303",T:T)</f>
        <v>0</v>
      </c>
      <c r="AC66" s="53">
        <f>SUMIF(U:U,"P.S.303",W:W)</f>
        <v>0</v>
      </c>
      <c r="AD66" s="53">
        <f>SUMIF(X:X,"P.S.303",Z:Z)</f>
        <v>0</v>
      </c>
      <c r="AE66" s="137">
        <f t="shared" ref="AE66" si="44">Z66+AA66+AB66+AC66+AD66</f>
        <v>9</v>
      </c>
    </row>
    <row r="67" spans="2:31" s="98" customFormat="1" ht="93.75" hidden="1" customHeight="1" x14ac:dyDescent="0.25">
      <c r="B67" s="54" t="s">
        <v>233</v>
      </c>
      <c r="C67" s="54" t="s">
        <v>581</v>
      </c>
      <c r="D67" s="54" t="s">
        <v>580</v>
      </c>
      <c r="E67" s="54" t="s">
        <v>510</v>
      </c>
      <c r="F67" s="54" t="s">
        <v>539</v>
      </c>
      <c r="G67" s="54" t="s">
        <v>544</v>
      </c>
      <c r="H67" s="54" t="s">
        <v>579</v>
      </c>
      <c r="I67" s="54" t="s">
        <v>460</v>
      </c>
      <c r="J67" s="54" t="s">
        <v>47</v>
      </c>
      <c r="K67" s="54" t="s">
        <v>47</v>
      </c>
      <c r="L67" s="89" t="s">
        <v>796</v>
      </c>
      <c r="M67" s="89" t="s">
        <v>797</v>
      </c>
      <c r="N67" s="89">
        <v>4</v>
      </c>
      <c r="O67" s="89"/>
      <c r="P67" s="89"/>
      <c r="Q67" s="89"/>
      <c r="R67" s="89"/>
      <c r="S67" s="89"/>
      <c r="T67" s="89"/>
      <c r="U67" s="89"/>
      <c r="V67" s="89"/>
      <c r="W67" s="89"/>
      <c r="Y67" s="98" t="s">
        <v>987</v>
      </c>
      <c r="Z67" s="98">
        <f>SUMIF(L:L,"P.B.236",N:N)</f>
        <v>89894</v>
      </c>
      <c r="AA67" s="98">
        <f>SUMIF(O:O,"P.B.236",Q:Q)</f>
        <v>0</v>
      </c>
      <c r="AB67" s="98">
        <f>SUMIF(R:R,"P.B.236",T:T)</f>
        <v>0</v>
      </c>
      <c r="AC67" s="98">
        <f>SUMIF(U:U,"P.B.236",W:W)</f>
        <v>0</v>
      </c>
      <c r="AD67" s="98">
        <f>SUMIF(X:X,"P.B.236",Z:Z)</f>
        <v>0</v>
      </c>
      <c r="AE67" s="139">
        <f t="shared" ref="AE67" si="45">Z67+AA67+AB67+AC67+AD67</f>
        <v>89894</v>
      </c>
    </row>
    <row r="68" spans="2:31" ht="42.75" hidden="1" customHeight="1" x14ac:dyDescent="0.25">
      <c r="B68" s="81" t="s">
        <v>950</v>
      </c>
      <c r="C68" s="81"/>
      <c r="D68" s="81" t="s">
        <v>951</v>
      </c>
      <c r="E68" s="80"/>
      <c r="F68" s="80"/>
      <c r="G68" s="80"/>
      <c r="H68" s="80"/>
      <c r="I68" s="80"/>
      <c r="J68" s="80"/>
      <c r="K68" s="80"/>
      <c r="L68" s="147"/>
      <c r="M68" s="147"/>
      <c r="N68" s="147"/>
      <c r="O68" s="147"/>
      <c r="P68" s="147"/>
      <c r="Q68" s="147"/>
      <c r="R68" s="147"/>
      <c r="S68" s="147"/>
      <c r="T68" s="147"/>
      <c r="U68" s="147"/>
      <c r="V68" s="147"/>
      <c r="W68" s="147"/>
      <c r="Y68" s="53" t="s">
        <v>989</v>
      </c>
      <c r="Z68" s="53">
        <f>SUMIF(L:L,"P.S.363",N:N)</f>
        <v>0</v>
      </c>
      <c r="AA68" s="53">
        <f>SUMIF(O:O,"P.S.363",Q:Q)</f>
        <v>8</v>
      </c>
      <c r="AB68" s="53">
        <f>SUMIF(R:R,"P.S.363",T:T)</f>
        <v>0</v>
      </c>
      <c r="AC68" s="53">
        <f>SUMIF(U:U,"P.S.363",W:W)</f>
        <v>0</v>
      </c>
      <c r="AD68" s="53">
        <f>SUMIF(X:X,"P.S.363",Z:Z)</f>
        <v>0</v>
      </c>
      <c r="AE68" s="137">
        <f t="shared" ref="AE68" si="46">Z68+AA68+AB68+AC68+AD68</f>
        <v>8</v>
      </c>
    </row>
    <row r="69" spans="2:31" ht="51" hidden="1" x14ac:dyDescent="0.25">
      <c r="B69" s="78" t="s">
        <v>235</v>
      </c>
      <c r="C69" s="79"/>
      <c r="D69" s="78" t="s">
        <v>236</v>
      </c>
      <c r="E69" s="78"/>
      <c r="F69" s="79"/>
      <c r="G69" s="78"/>
      <c r="H69" s="79"/>
      <c r="I69" s="78"/>
      <c r="J69" s="78"/>
      <c r="K69" s="79"/>
      <c r="L69" s="143"/>
      <c r="M69" s="144"/>
      <c r="N69" s="143"/>
      <c r="O69" s="143"/>
      <c r="P69" s="144"/>
      <c r="Q69" s="143"/>
      <c r="R69" s="144"/>
      <c r="S69" s="143"/>
      <c r="T69" s="143"/>
      <c r="U69" s="144"/>
      <c r="V69" s="143"/>
      <c r="W69" s="144"/>
    </row>
    <row r="70" spans="2:31" ht="63.75" hidden="1" x14ac:dyDescent="0.25">
      <c r="B70" s="117" t="s">
        <v>237</v>
      </c>
      <c r="C70" s="37"/>
      <c r="D70" s="37" t="s">
        <v>238</v>
      </c>
      <c r="E70" s="117"/>
      <c r="F70" s="117"/>
      <c r="G70" s="37"/>
      <c r="H70" s="37"/>
      <c r="I70" s="117"/>
      <c r="J70" s="117"/>
      <c r="K70" s="37"/>
      <c r="L70" s="140"/>
      <c r="M70" s="141"/>
      <c r="N70" s="141"/>
      <c r="O70" s="140"/>
      <c r="P70" s="140"/>
      <c r="Q70" s="141"/>
      <c r="R70" s="141"/>
      <c r="S70" s="140"/>
      <c r="T70" s="140"/>
      <c r="U70" s="141"/>
      <c r="V70" s="141"/>
      <c r="W70" s="140"/>
    </row>
    <row r="71" spans="2:31" ht="63.75" hidden="1" x14ac:dyDescent="0.25">
      <c r="B71" s="60" t="s">
        <v>239</v>
      </c>
      <c r="C71" s="60"/>
      <c r="D71" s="60" t="s">
        <v>240</v>
      </c>
      <c r="E71" s="60"/>
      <c r="F71" s="60"/>
      <c r="G71" s="60"/>
      <c r="H71" s="60"/>
      <c r="I71" s="60"/>
      <c r="J71" s="60"/>
      <c r="K71" s="60"/>
      <c r="L71" s="142"/>
      <c r="M71" s="142"/>
      <c r="N71" s="142"/>
      <c r="O71" s="142"/>
      <c r="P71" s="142"/>
      <c r="Q71" s="142"/>
      <c r="R71" s="142"/>
      <c r="S71" s="142"/>
      <c r="T71" s="142"/>
      <c r="U71" s="142"/>
      <c r="V71" s="142"/>
      <c r="W71" s="142"/>
    </row>
    <row r="72" spans="2:31" ht="124.5" hidden="1" customHeight="1" x14ac:dyDescent="0.25">
      <c r="B72" s="54" t="s">
        <v>241</v>
      </c>
      <c r="C72" s="54" t="s">
        <v>594</v>
      </c>
      <c r="D72" s="54" t="s">
        <v>242</v>
      </c>
      <c r="E72" s="54" t="s">
        <v>456</v>
      </c>
      <c r="F72" s="54" t="s">
        <v>582</v>
      </c>
      <c r="G72" s="54" t="s">
        <v>458</v>
      </c>
      <c r="H72" s="54" t="s">
        <v>583</v>
      </c>
      <c r="I72" s="54" t="s">
        <v>460</v>
      </c>
      <c r="J72" s="54" t="s">
        <v>461</v>
      </c>
      <c r="K72" s="54" t="s">
        <v>47</v>
      </c>
      <c r="L72" s="89" t="s">
        <v>798</v>
      </c>
      <c r="M72" s="89" t="s">
        <v>799</v>
      </c>
      <c r="N72" s="89">
        <v>1</v>
      </c>
      <c r="O72" s="89" t="s">
        <v>800</v>
      </c>
      <c r="P72" s="89" t="s">
        <v>801</v>
      </c>
      <c r="Q72" s="89">
        <v>500</v>
      </c>
      <c r="R72" s="89"/>
      <c r="S72" s="89"/>
      <c r="T72" s="89"/>
      <c r="U72" s="89"/>
      <c r="V72" s="89"/>
      <c r="W72" s="89"/>
    </row>
    <row r="73" spans="2:31" ht="127.5" hidden="1" customHeight="1" x14ac:dyDescent="0.25">
      <c r="B73" s="54" t="s">
        <v>243</v>
      </c>
      <c r="C73" s="54" t="s">
        <v>595</v>
      </c>
      <c r="D73" s="54" t="s">
        <v>244</v>
      </c>
      <c r="E73" s="54" t="s">
        <v>584</v>
      </c>
      <c r="F73" s="54" t="s">
        <v>585</v>
      </c>
      <c r="G73" s="54" t="s">
        <v>586</v>
      </c>
      <c r="H73" s="54" t="s">
        <v>587</v>
      </c>
      <c r="I73" s="54" t="s">
        <v>468</v>
      </c>
      <c r="J73" s="54" t="s">
        <v>469</v>
      </c>
      <c r="K73" s="54" t="s">
        <v>470</v>
      </c>
      <c r="L73" s="89" t="s">
        <v>798</v>
      </c>
      <c r="M73" s="89" t="s">
        <v>799</v>
      </c>
      <c r="N73" s="89">
        <v>1</v>
      </c>
      <c r="O73" s="89" t="s">
        <v>800</v>
      </c>
      <c r="P73" s="89" t="s">
        <v>801</v>
      </c>
      <c r="Q73" s="89">
        <v>2800</v>
      </c>
      <c r="R73" s="89"/>
      <c r="S73" s="89"/>
      <c r="T73" s="89"/>
      <c r="U73" s="89"/>
      <c r="V73" s="89"/>
      <c r="W73" s="89"/>
    </row>
    <row r="74" spans="2:31" ht="183.75" hidden="1" customHeight="1" x14ac:dyDescent="0.25">
      <c r="B74" s="54" t="s">
        <v>245</v>
      </c>
      <c r="C74" s="54" t="s">
        <v>596</v>
      </c>
      <c r="D74" s="54" t="s">
        <v>588</v>
      </c>
      <c r="E74" s="54" t="s">
        <v>471</v>
      </c>
      <c r="F74" s="54" t="s">
        <v>582</v>
      </c>
      <c r="G74" s="54" t="s">
        <v>589</v>
      </c>
      <c r="H74" s="54" t="s">
        <v>583</v>
      </c>
      <c r="I74" s="54" t="s">
        <v>460</v>
      </c>
      <c r="J74" s="54" t="s">
        <v>47</v>
      </c>
      <c r="K74" s="54" t="s">
        <v>47</v>
      </c>
      <c r="L74" s="89" t="s">
        <v>798</v>
      </c>
      <c r="M74" s="89" t="s">
        <v>802</v>
      </c>
      <c r="N74" s="89">
        <v>1</v>
      </c>
      <c r="O74" s="89" t="s">
        <v>800</v>
      </c>
      <c r="P74" s="89" t="s">
        <v>803</v>
      </c>
      <c r="Q74" s="89">
        <v>250</v>
      </c>
      <c r="R74" s="89"/>
      <c r="S74" s="89"/>
      <c r="T74" s="89"/>
      <c r="U74" s="89"/>
      <c r="V74" s="89"/>
      <c r="W74" s="89"/>
    </row>
    <row r="75" spans="2:31" ht="127.5" hidden="1" customHeight="1" x14ac:dyDescent="0.25">
      <c r="B75" s="54" t="s">
        <v>247</v>
      </c>
      <c r="C75" s="54" t="s">
        <v>597</v>
      </c>
      <c r="D75" s="54" t="s">
        <v>248</v>
      </c>
      <c r="E75" s="54" t="s">
        <v>541</v>
      </c>
      <c r="F75" s="54" t="s">
        <v>582</v>
      </c>
      <c r="G75" s="54" t="s">
        <v>542</v>
      </c>
      <c r="H75" s="54" t="s">
        <v>590</v>
      </c>
      <c r="I75" s="54" t="s">
        <v>460</v>
      </c>
      <c r="J75" s="54" t="s">
        <v>47</v>
      </c>
      <c r="K75" s="54" t="s">
        <v>47</v>
      </c>
      <c r="L75" s="89" t="s">
        <v>798</v>
      </c>
      <c r="M75" s="89" t="s">
        <v>799</v>
      </c>
      <c r="N75" s="89">
        <v>1</v>
      </c>
      <c r="O75" s="89" t="s">
        <v>800</v>
      </c>
      <c r="P75" s="89" t="s">
        <v>801</v>
      </c>
      <c r="Q75" s="89">
        <v>320</v>
      </c>
      <c r="R75" s="89"/>
      <c r="S75" s="89"/>
      <c r="T75" s="89"/>
      <c r="U75" s="89"/>
      <c r="V75" s="89"/>
      <c r="W75" s="89"/>
    </row>
    <row r="76" spans="2:31" ht="38.25" hidden="1" x14ac:dyDescent="0.25">
      <c r="B76" s="117" t="s">
        <v>249</v>
      </c>
      <c r="C76" s="37"/>
      <c r="D76" s="37" t="s">
        <v>250</v>
      </c>
      <c r="E76" s="117"/>
      <c r="F76" s="37"/>
      <c r="G76" s="37"/>
      <c r="H76" s="117"/>
      <c r="I76" s="37"/>
      <c r="J76" s="37"/>
      <c r="K76" s="117"/>
      <c r="L76" s="140"/>
      <c r="M76" s="140"/>
      <c r="N76" s="141"/>
      <c r="O76" s="140"/>
      <c r="P76" s="140"/>
      <c r="Q76" s="141"/>
      <c r="R76" s="140"/>
      <c r="S76" s="140"/>
      <c r="T76" s="141"/>
      <c r="U76" s="140"/>
      <c r="V76" s="140"/>
      <c r="W76" s="141"/>
    </row>
    <row r="77" spans="2:31" ht="102" hidden="1" x14ac:dyDescent="0.25">
      <c r="B77" s="60" t="s">
        <v>251</v>
      </c>
      <c r="C77" s="60"/>
      <c r="D77" s="60" t="s">
        <v>252</v>
      </c>
      <c r="E77" s="60"/>
      <c r="F77" s="60"/>
      <c r="G77" s="60"/>
      <c r="H77" s="60"/>
      <c r="I77" s="60"/>
      <c r="J77" s="60"/>
      <c r="K77" s="60"/>
      <c r="L77" s="142"/>
      <c r="M77" s="142"/>
      <c r="N77" s="142"/>
      <c r="O77" s="142"/>
      <c r="P77" s="142"/>
      <c r="Q77" s="142"/>
      <c r="R77" s="142"/>
      <c r="S77" s="142"/>
      <c r="T77" s="142"/>
      <c r="U77" s="142"/>
      <c r="V77" s="142"/>
      <c r="W77" s="142"/>
    </row>
    <row r="78" spans="2:31" ht="305.25" hidden="1" customHeight="1" x14ac:dyDescent="0.25">
      <c r="B78" s="54" t="s">
        <v>253</v>
      </c>
      <c r="C78" s="54" t="s">
        <v>603</v>
      </c>
      <c r="D78" s="54" t="s">
        <v>254</v>
      </c>
      <c r="E78" s="54" t="s">
        <v>598</v>
      </c>
      <c r="F78" s="54" t="s">
        <v>599</v>
      </c>
      <c r="G78" s="54" t="s">
        <v>600</v>
      </c>
      <c r="H78" s="54" t="s">
        <v>601</v>
      </c>
      <c r="I78" s="54" t="s">
        <v>468</v>
      </c>
      <c r="J78" s="54" t="s">
        <v>470</v>
      </c>
      <c r="K78" s="54" t="s">
        <v>470</v>
      </c>
      <c r="L78" s="89" t="s">
        <v>804</v>
      </c>
      <c r="M78" s="89" t="s">
        <v>805</v>
      </c>
      <c r="N78" s="89">
        <v>86</v>
      </c>
      <c r="O78" s="89"/>
      <c r="P78" s="89"/>
      <c r="Q78" s="89"/>
      <c r="R78" s="89"/>
      <c r="S78" s="89"/>
      <c r="T78" s="89"/>
      <c r="U78" s="89"/>
      <c r="V78" s="89"/>
      <c r="W78" s="89"/>
    </row>
    <row r="79" spans="2:31" ht="66" hidden="1" customHeight="1" x14ac:dyDescent="0.25">
      <c r="B79" s="54" t="s">
        <v>1012</v>
      </c>
      <c r="C79" s="54" t="s">
        <v>1013</v>
      </c>
      <c r="D79" s="89" t="s">
        <v>1014</v>
      </c>
      <c r="E79" s="89" t="s">
        <v>503</v>
      </c>
      <c r="F79" s="89" t="s">
        <v>599</v>
      </c>
      <c r="G79" s="89" t="s">
        <v>1015</v>
      </c>
      <c r="H79" s="89" t="s">
        <v>891</v>
      </c>
      <c r="I79" s="54" t="s">
        <v>468</v>
      </c>
      <c r="J79" s="54" t="s">
        <v>470</v>
      </c>
      <c r="K79" s="54" t="s">
        <v>470</v>
      </c>
      <c r="L79" s="89" t="s">
        <v>804</v>
      </c>
      <c r="M79" s="89" t="s">
        <v>805</v>
      </c>
      <c r="N79" s="89">
        <v>127</v>
      </c>
      <c r="O79" s="89"/>
      <c r="P79" s="89"/>
      <c r="Q79" s="89"/>
      <c r="R79" s="89"/>
      <c r="S79" s="89"/>
      <c r="T79" s="89"/>
      <c r="U79" s="89"/>
      <c r="V79" s="89"/>
      <c r="W79" s="89"/>
    </row>
    <row r="80" spans="2:31" ht="38.25" hidden="1" x14ac:dyDescent="0.25">
      <c r="B80" s="78" t="s">
        <v>616</v>
      </c>
      <c r="C80" s="79"/>
      <c r="D80" s="78" t="s">
        <v>604</v>
      </c>
      <c r="E80" s="78"/>
      <c r="F80" s="78"/>
      <c r="G80" s="79"/>
      <c r="H80" s="78"/>
      <c r="I80" s="78"/>
      <c r="J80" s="78"/>
      <c r="K80" s="79"/>
      <c r="L80" s="143"/>
      <c r="M80" s="143"/>
      <c r="N80" s="143"/>
      <c r="O80" s="144"/>
      <c r="P80" s="143"/>
      <c r="Q80" s="143"/>
      <c r="R80" s="143"/>
      <c r="S80" s="144"/>
      <c r="T80" s="143"/>
      <c r="U80" s="143"/>
      <c r="V80" s="143"/>
      <c r="W80" s="144"/>
    </row>
    <row r="81" spans="2:26" ht="76.5" hidden="1" x14ac:dyDescent="0.25">
      <c r="B81" s="117" t="s">
        <v>257</v>
      </c>
      <c r="C81" s="37"/>
      <c r="D81" s="37" t="s">
        <v>258</v>
      </c>
      <c r="E81" s="117"/>
      <c r="F81" s="37"/>
      <c r="G81" s="37"/>
      <c r="H81" s="117" t="s">
        <v>292</v>
      </c>
      <c r="I81" s="37"/>
      <c r="J81" s="37"/>
      <c r="K81" s="117"/>
      <c r="L81" s="140"/>
      <c r="M81" s="140"/>
      <c r="N81" s="141"/>
      <c r="O81" s="140"/>
      <c r="P81" s="140"/>
      <c r="Q81" s="141"/>
      <c r="R81" s="140"/>
      <c r="S81" s="140"/>
      <c r="T81" s="141"/>
      <c r="U81" s="140"/>
      <c r="V81" s="140"/>
      <c r="W81" s="141"/>
    </row>
    <row r="82" spans="2:26" ht="89.25" x14ac:dyDescent="0.25">
      <c r="B82" s="60" t="s">
        <v>259</v>
      </c>
      <c r="C82" s="60"/>
      <c r="D82" s="60" t="s">
        <v>260</v>
      </c>
      <c r="E82" s="60"/>
      <c r="F82" s="60"/>
      <c r="G82" s="60"/>
      <c r="H82" s="60"/>
      <c r="I82" s="60"/>
      <c r="J82" s="60"/>
      <c r="K82" s="60"/>
      <c r="L82" s="142"/>
      <c r="M82" s="142"/>
      <c r="N82" s="142"/>
      <c r="O82" s="142"/>
      <c r="P82" s="142"/>
      <c r="Q82" s="142"/>
      <c r="R82" s="142"/>
      <c r="S82" s="142"/>
      <c r="T82" s="142"/>
      <c r="U82" s="142"/>
      <c r="V82" s="142"/>
      <c r="W82" s="142"/>
    </row>
    <row r="83" spans="2:26" ht="180" hidden="1" customHeight="1" x14ac:dyDescent="0.25">
      <c r="B83" s="59" t="s">
        <v>261</v>
      </c>
      <c r="C83" s="59" t="s">
        <v>618</v>
      </c>
      <c r="D83" s="59" t="s">
        <v>605</v>
      </c>
      <c r="E83" s="59" t="s">
        <v>606</v>
      </c>
      <c r="F83" s="59" t="s">
        <v>607</v>
      </c>
      <c r="G83" s="59" t="s">
        <v>534</v>
      </c>
      <c r="H83" s="59" t="s">
        <v>608</v>
      </c>
      <c r="I83" s="59" t="s">
        <v>460</v>
      </c>
      <c r="J83" s="59" t="s">
        <v>47</v>
      </c>
      <c r="K83" s="59" t="s">
        <v>47</v>
      </c>
      <c r="L83" s="46" t="s">
        <v>806</v>
      </c>
      <c r="M83" s="46" t="s">
        <v>807</v>
      </c>
      <c r="N83" s="46">
        <v>5.23</v>
      </c>
      <c r="O83" s="46" t="s">
        <v>808</v>
      </c>
      <c r="P83" s="46" t="s">
        <v>809</v>
      </c>
      <c r="Q83" s="46">
        <v>16</v>
      </c>
      <c r="R83" s="46" t="s">
        <v>810</v>
      </c>
      <c r="S83" s="46" t="s">
        <v>811</v>
      </c>
      <c r="T83" s="46">
        <v>1032</v>
      </c>
      <c r="U83" s="46" t="s">
        <v>812</v>
      </c>
      <c r="V83" s="46" t="s">
        <v>813</v>
      </c>
      <c r="W83" s="46">
        <v>120</v>
      </c>
      <c r="X83" s="46" t="s">
        <v>814</v>
      </c>
      <c r="Y83" s="46" t="s">
        <v>815</v>
      </c>
      <c r="Z83" s="46">
        <v>27</v>
      </c>
    </row>
    <row r="84" spans="2:26" ht="165.75" hidden="1" x14ac:dyDescent="0.25">
      <c r="B84" s="59" t="s">
        <v>263</v>
      </c>
      <c r="C84" s="59" t="s">
        <v>957</v>
      </c>
      <c r="D84" s="59" t="s">
        <v>609</v>
      </c>
      <c r="E84" s="59" t="s">
        <v>610</v>
      </c>
      <c r="F84" s="59" t="s">
        <v>607</v>
      </c>
      <c r="G84" s="59" t="s">
        <v>542</v>
      </c>
      <c r="H84" s="59" t="s">
        <v>608</v>
      </c>
      <c r="I84" s="59" t="s">
        <v>460</v>
      </c>
      <c r="J84" s="59" t="s">
        <v>47</v>
      </c>
      <c r="K84" s="59" t="s">
        <v>47</v>
      </c>
      <c r="L84" s="46" t="s">
        <v>808</v>
      </c>
      <c r="M84" s="46" t="s">
        <v>809</v>
      </c>
      <c r="N84" s="46">
        <v>106</v>
      </c>
      <c r="O84" s="46" t="s">
        <v>812</v>
      </c>
      <c r="P84" s="46" t="s">
        <v>813</v>
      </c>
      <c r="Q84" s="46">
        <v>358</v>
      </c>
      <c r="R84" s="46" t="s">
        <v>814</v>
      </c>
      <c r="S84" s="46" t="s">
        <v>816</v>
      </c>
      <c r="T84" s="46">
        <v>42</v>
      </c>
      <c r="U84" s="46"/>
      <c r="V84" s="46"/>
      <c r="W84" s="46"/>
    </row>
    <row r="85" spans="2:26" ht="51" hidden="1" x14ac:dyDescent="0.25">
      <c r="B85" s="59" t="s">
        <v>265</v>
      </c>
      <c r="C85" s="59" t="s">
        <v>619</v>
      </c>
      <c r="D85" s="59" t="s">
        <v>266</v>
      </c>
      <c r="E85" s="59" t="s">
        <v>611</v>
      </c>
      <c r="F85" s="59" t="s">
        <v>607</v>
      </c>
      <c r="G85" s="59" t="s">
        <v>507</v>
      </c>
      <c r="H85" s="59" t="s">
        <v>608</v>
      </c>
      <c r="I85" s="59" t="s">
        <v>460</v>
      </c>
      <c r="J85" s="59" t="s">
        <v>461</v>
      </c>
      <c r="K85" s="59" t="s">
        <v>47</v>
      </c>
      <c r="L85" s="46" t="s">
        <v>806</v>
      </c>
      <c r="M85" s="46" t="s">
        <v>807</v>
      </c>
      <c r="N85" s="46">
        <v>19.600000000000001</v>
      </c>
      <c r="O85" s="46"/>
      <c r="P85" s="46"/>
      <c r="Q85" s="46"/>
      <c r="R85" s="46"/>
      <c r="S85" s="46"/>
      <c r="T85" s="46"/>
      <c r="U85" s="46"/>
      <c r="V85" s="46"/>
      <c r="W85" s="46"/>
    </row>
    <row r="86" spans="2:26" ht="165.75" hidden="1" x14ac:dyDescent="0.25">
      <c r="B86" s="59" t="s">
        <v>267</v>
      </c>
      <c r="C86" s="59" t="s">
        <v>954</v>
      </c>
      <c r="D86" s="59" t="s">
        <v>268</v>
      </c>
      <c r="E86" s="59" t="s">
        <v>612</v>
      </c>
      <c r="F86" s="59" t="s">
        <v>607</v>
      </c>
      <c r="G86" s="59" t="s">
        <v>463</v>
      </c>
      <c r="H86" s="59" t="s">
        <v>608</v>
      </c>
      <c r="I86" s="59" t="s">
        <v>460</v>
      </c>
      <c r="J86" s="59" t="s">
        <v>47</v>
      </c>
      <c r="K86" s="59" t="s">
        <v>47</v>
      </c>
      <c r="L86" s="46" t="s">
        <v>808</v>
      </c>
      <c r="M86" s="46" t="s">
        <v>809</v>
      </c>
      <c r="N86" s="46">
        <v>328</v>
      </c>
      <c r="O86" s="46" t="s">
        <v>812</v>
      </c>
      <c r="P86" s="46" t="s">
        <v>813</v>
      </c>
      <c r="Q86" s="46">
        <v>273</v>
      </c>
      <c r="R86" s="46" t="s">
        <v>814</v>
      </c>
      <c r="S86" s="46" t="s">
        <v>816</v>
      </c>
      <c r="T86" s="46">
        <v>350</v>
      </c>
      <c r="U86" s="46" t="s">
        <v>806</v>
      </c>
      <c r="V86" s="46" t="s">
        <v>807</v>
      </c>
      <c r="W86" s="46">
        <v>0.31</v>
      </c>
    </row>
    <row r="87" spans="2:26" ht="165.75" hidden="1" x14ac:dyDescent="0.25">
      <c r="B87" s="59" t="s">
        <v>269</v>
      </c>
      <c r="C87" s="59" t="s">
        <v>955</v>
      </c>
      <c r="D87" s="59" t="s">
        <v>613</v>
      </c>
      <c r="E87" s="59" t="s">
        <v>614</v>
      </c>
      <c r="F87" s="59" t="s">
        <v>607</v>
      </c>
      <c r="G87" s="59" t="s">
        <v>472</v>
      </c>
      <c r="H87" s="59" t="s">
        <v>608</v>
      </c>
      <c r="I87" s="59" t="s">
        <v>460</v>
      </c>
      <c r="J87" s="59" t="s">
        <v>47</v>
      </c>
      <c r="K87" s="59" t="s">
        <v>47</v>
      </c>
      <c r="L87" s="46" t="s">
        <v>808</v>
      </c>
      <c r="M87" s="46" t="s">
        <v>809</v>
      </c>
      <c r="N87" s="46">
        <v>20</v>
      </c>
      <c r="O87" s="46" t="s">
        <v>812</v>
      </c>
      <c r="P87" s="46" t="s">
        <v>813</v>
      </c>
      <c r="Q87" s="46">
        <v>117</v>
      </c>
      <c r="R87" s="46" t="s">
        <v>814</v>
      </c>
      <c r="S87" s="46" t="s">
        <v>816</v>
      </c>
      <c r="T87" s="46">
        <v>194</v>
      </c>
      <c r="U87" s="46" t="s">
        <v>806</v>
      </c>
      <c r="V87" s="46" t="s">
        <v>807</v>
      </c>
      <c r="W87" s="46">
        <v>2.5</v>
      </c>
    </row>
    <row r="88" spans="2:26" ht="140.25" hidden="1" x14ac:dyDescent="0.25">
      <c r="B88" s="59" t="s">
        <v>271</v>
      </c>
      <c r="C88" s="59" t="s">
        <v>948</v>
      </c>
      <c r="D88" s="59" t="s">
        <v>958</v>
      </c>
      <c r="E88" s="59" t="s">
        <v>615</v>
      </c>
      <c r="F88" s="59" t="s">
        <v>607</v>
      </c>
      <c r="G88" s="59" t="s">
        <v>544</v>
      </c>
      <c r="H88" s="59" t="s">
        <v>608</v>
      </c>
      <c r="I88" s="59" t="s">
        <v>460</v>
      </c>
      <c r="J88" s="59" t="s">
        <v>47</v>
      </c>
      <c r="K88" s="59" t="s">
        <v>47</v>
      </c>
      <c r="L88" s="46" t="s">
        <v>808</v>
      </c>
      <c r="M88" s="46" t="s">
        <v>817</v>
      </c>
      <c r="N88" s="46">
        <v>544</v>
      </c>
      <c r="O88" s="46" t="s">
        <v>812</v>
      </c>
      <c r="P88" s="46" t="s">
        <v>818</v>
      </c>
      <c r="Q88" s="46">
        <v>634</v>
      </c>
      <c r="R88" s="46"/>
      <c r="S88" s="46"/>
      <c r="T88" s="46"/>
      <c r="U88" s="46"/>
      <c r="V88" s="46"/>
      <c r="W88" s="46"/>
    </row>
    <row r="89" spans="2:26" ht="102.75" hidden="1" customHeight="1" x14ac:dyDescent="0.25">
      <c r="B89" s="59" t="s">
        <v>959</v>
      </c>
      <c r="C89" s="59" t="s">
        <v>960</v>
      </c>
      <c r="D89" s="59" t="s">
        <v>961</v>
      </c>
      <c r="E89" s="59" t="s">
        <v>962</v>
      </c>
      <c r="F89" s="59" t="s">
        <v>607</v>
      </c>
      <c r="G89" s="59" t="s">
        <v>534</v>
      </c>
      <c r="H89" s="59" t="s">
        <v>608</v>
      </c>
      <c r="I89" s="59" t="s">
        <v>460</v>
      </c>
      <c r="J89" s="59" t="s">
        <v>47</v>
      </c>
      <c r="K89" s="59" t="s">
        <v>47</v>
      </c>
      <c r="L89" s="46" t="s">
        <v>806</v>
      </c>
      <c r="M89" s="46" t="s">
        <v>807</v>
      </c>
      <c r="N89" s="46">
        <v>0.93</v>
      </c>
      <c r="O89" s="46"/>
      <c r="P89" s="46"/>
      <c r="Q89" s="46"/>
      <c r="R89" s="46"/>
      <c r="S89" s="46"/>
      <c r="T89" s="46"/>
      <c r="U89" s="46"/>
      <c r="V89" s="46"/>
      <c r="W89" s="46"/>
    </row>
    <row r="90" spans="2:26" ht="189.75" hidden="1" customHeight="1" x14ac:dyDescent="0.25">
      <c r="B90" s="59" t="s">
        <v>963</v>
      </c>
      <c r="C90" s="59" t="s">
        <v>964</v>
      </c>
      <c r="D90" s="59" t="s">
        <v>965</v>
      </c>
      <c r="E90" s="59" t="s">
        <v>615</v>
      </c>
      <c r="F90" s="59" t="s">
        <v>607</v>
      </c>
      <c r="G90" s="59" t="s">
        <v>544</v>
      </c>
      <c r="H90" s="59" t="s">
        <v>608</v>
      </c>
      <c r="I90" s="59" t="s">
        <v>460</v>
      </c>
      <c r="J90" s="59" t="s">
        <v>47</v>
      </c>
      <c r="K90" s="59" t="s">
        <v>47</v>
      </c>
      <c r="L90" s="46" t="s">
        <v>808</v>
      </c>
      <c r="M90" s="46" t="s">
        <v>809</v>
      </c>
      <c r="N90" s="89">
        <v>153</v>
      </c>
      <c r="O90" s="89" t="s">
        <v>810</v>
      </c>
      <c r="P90" s="89" t="s">
        <v>811</v>
      </c>
      <c r="Q90" s="89">
        <v>153</v>
      </c>
      <c r="R90" s="89" t="s">
        <v>812</v>
      </c>
      <c r="S90" s="89" t="s">
        <v>813</v>
      </c>
      <c r="T90" s="89">
        <v>153</v>
      </c>
      <c r="U90" s="89" t="s">
        <v>814</v>
      </c>
      <c r="V90" s="89" t="s">
        <v>815</v>
      </c>
      <c r="W90" s="89">
        <v>153</v>
      </c>
      <c r="X90" s="148"/>
      <c r="Y90" s="149"/>
      <c r="Z90" s="149"/>
    </row>
    <row r="91" spans="2:26" s="98" customFormat="1" ht="126.75" hidden="1" customHeight="1" x14ac:dyDescent="0.25">
      <c r="B91" s="54" t="s">
        <v>966</v>
      </c>
      <c r="C91" s="54" t="s">
        <v>967</v>
      </c>
      <c r="D91" s="54" t="s">
        <v>968</v>
      </c>
      <c r="E91" s="54" t="s">
        <v>612</v>
      </c>
      <c r="F91" s="54" t="s">
        <v>607</v>
      </c>
      <c r="G91" s="54" t="s">
        <v>463</v>
      </c>
      <c r="H91" s="54" t="s">
        <v>608</v>
      </c>
      <c r="I91" s="54" t="s">
        <v>460</v>
      </c>
      <c r="J91" s="54" t="s">
        <v>47</v>
      </c>
      <c r="K91" s="54" t="s">
        <v>47</v>
      </c>
      <c r="L91" s="89" t="s">
        <v>808</v>
      </c>
      <c r="M91" s="89" t="s">
        <v>809</v>
      </c>
      <c r="N91" s="89">
        <v>288</v>
      </c>
      <c r="O91" s="89" t="s">
        <v>812</v>
      </c>
      <c r="P91" s="89" t="s">
        <v>813</v>
      </c>
      <c r="Q91" s="89">
        <v>288</v>
      </c>
      <c r="R91" s="89"/>
      <c r="S91" s="89"/>
      <c r="T91" s="89"/>
      <c r="U91" s="89"/>
      <c r="V91" s="89"/>
      <c r="W91" s="89"/>
      <c r="X91" s="150"/>
      <c r="Y91" s="151"/>
      <c r="Z91" s="151"/>
    </row>
    <row r="92" spans="2:26" s="98" customFormat="1" ht="186" hidden="1" customHeight="1" x14ac:dyDescent="0.25">
      <c r="B92" s="54" t="s">
        <v>970</v>
      </c>
      <c r="C92" s="54" t="s">
        <v>971</v>
      </c>
      <c r="D92" s="54" t="s">
        <v>969</v>
      </c>
      <c r="E92" s="54" t="s">
        <v>610</v>
      </c>
      <c r="F92" s="54" t="s">
        <v>607</v>
      </c>
      <c r="G92" s="54" t="s">
        <v>542</v>
      </c>
      <c r="H92" s="54" t="s">
        <v>608</v>
      </c>
      <c r="I92" s="54" t="s">
        <v>460</v>
      </c>
      <c r="J92" s="54" t="s">
        <v>47</v>
      </c>
      <c r="K92" s="54" t="s">
        <v>47</v>
      </c>
      <c r="L92" s="89" t="s">
        <v>808</v>
      </c>
      <c r="M92" s="89" t="s">
        <v>809</v>
      </c>
      <c r="N92" s="89">
        <v>44</v>
      </c>
      <c r="O92" s="89" t="s">
        <v>812</v>
      </c>
      <c r="P92" s="89" t="s">
        <v>813</v>
      </c>
      <c r="Q92" s="89">
        <v>93</v>
      </c>
      <c r="R92" s="89" t="s">
        <v>814</v>
      </c>
      <c r="S92" s="89" t="s">
        <v>815</v>
      </c>
      <c r="T92" s="89">
        <v>62</v>
      </c>
      <c r="U92" s="89"/>
      <c r="V92" s="89"/>
      <c r="W92" s="89"/>
      <c r="X92" s="150"/>
      <c r="Y92" s="151"/>
      <c r="Z92" s="151"/>
    </row>
    <row r="93" spans="2:26" s="98" customFormat="1" ht="132" customHeight="1" x14ac:dyDescent="0.25">
      <c r="B93" s="54" t="s">
        <v>1028</v>
      </c>
      <c r="C93" s="54" t="s">
        <v>1029</v>
      </c>
      <c r="D93" s="54" t="s">
        <v>1030</v>
      </c>
      <c r="E93" s="54" t="s">
        <v>1031</v>
      </c>
      <c r="F93" s="54" t="s">
        <v>607</v>
      </c>
      <c r="G93" s="54" t="s">
        <v>589</v>
      </c>
      <c r="H93" s="54" t="s">
        <v>608</v>
      </c>
      <c r="I93" s="54" t="s">
        <v>460</v>
      </c>
      <c r="J93" s="54" t="s">
        <v>47</v>
      </c>
      <c r="K93" s="54" t="s">
        <v>47</v>
      </c>
      <c r="L93" s="89" t="s">
        <v>808</v>
      </c>
      <c r="M93" s="89" t="s">
        <v>809</v>
      </c>
      <c r="N93" s="89">
        <v>32</v>
      </c>
      <c r="O93" s="89" t="s">
        <v>812</v>
      </c>
      <c r="P93" s="89" t="s">
        <v>813</v>
      </c>
      <c r="Q93" s="89">
        <v>107</v>
      </c>
      <c r="R93" s="89" t="s">
        <v>806</v>
      </c>
      <c r="S93" s="89" t="s">
        <v>807</v>
      </c>
      <c r="T93" s="89">
        <v>0.107</v>
      </c>
      <c r="U93" s="89"/>
      <c r="V93" s="89"/>
      <c r="W93" s="89"/>
      <c r="X93" s="150"/>
      <c r="Y93" s="151"/>
      <c r="Z93" s="151"/>
    </row>
    <row r="94" spans="2:26" ht="38.25" hidden="1" x14ac:dyDescent="0.25">
      <c r="B94" s="60" t="s">
        <v>272</v>
      </c>
      <c r="C94" s="60"/>
      <c r="D94" s="60" t="s">
        <v>273</v>
      </c>
      <c r="E94" s="60"/>
      <c r="F94" s="60"/>
      <c r="G94" s="60"/>
      <c r="H94" s="60"/>
      <c r="I94" s="60"/>
      <c r="J94" s="60"/>
      <c r="K94" s="60"/>
      <c r="L94" s="60"/>
      <c r="M94" s="60"/>
      <c r="N94" s="60"/>
      <c r="O94" s="60"/>
      <c r="P94" s="60"/>
      <c r="Q94" s="60"/>
      <c r="R94" s="60"/>
      <c r="S94" s="60"/>
      <c r="T94" s="60"/>
      <c r="U94" s="60"/>
      <c r="V94" s="60"/>
      <c r="W94" s="60"/>
    </row>
    <row r="95" spans="2:26" ht="104.25" hidden="1" customHeight="1" x14ac:dyDescent="0.25">
      <c r="B95" s="59" t="s">
        <v>274</v>
      </c>
      <c r="C95" s="59" t="s">
        <v>624</v>
      </c>
      <c r="D95" s="59" t="s">
        <v>275</v>
      </c>
      <c r="E95" s="59" t="s">
        <v>620</v>
      </c>
      <c r="F95" s="59" t="s">
        <v>607</v>
      </c>
      <c r="G95" s="59" t="s">
        <v>511</v>
      </c>
      <c r="H95" s="59" t="s">
        <v>621</v>
      </c>
      <c r="I95" s="59" t="s">
        <v>460</v>
      </c>
      <c r="J95" s="59" t="s">
        <v>47</v>
      </c>
      <c r="K95" s="59" t="s">
        <v>47</v>
      </c>
      <c r="L95" s="46" t="s">
        <v>819</v>
      </c>
      <c r="M95" s="46" t="s">
        <v>820</v>
      </c>
      <c r="N95" s="46">
        <v>52.58</v>
      </c>
      <c r="O95" s="46" t="s">
        <v>821</v>
      </c>
      <c r="P95" s="46" t="s">
        <v>822</v>
      </c>
      <c r="Q95" s="46">
        <v>20.25</v>
      </c>
      <c r="R95" s="46"/>
      <c r="S95" s="46"/>
      <c r="T95" s="46"/>
      <c r="U95" s="46"/>
      <c r="V95" s="46"/>
      <c r="W95" s="46"/>
    </row>
    <row r="96" spans="2:26" ht="103.5" hidden="1" customHeight="1" x14ac:dyDescent="0.25">
      <c r="B96" s="59" t="s">
        <v>276</v>
      </c>
      <c r="C96" s="59" t="s">
        <v>625</v>
      </c>
      <c r="D96" s="59" t="s">
        <v>277</v>
      </c>
      <c r="E96" s="59" t="s">
        <v>622</v>
      </c>
      <c r="F96" s="59" t="s">
        <v>607</v>
      </c>
      <c r="G96" s="59" t="s">
        <v>546</v>
      </c>
      <c r="H96" s="59" t="s">
        <v>623</v>
      </c>
      <c r="I96" s="59" t="s">
        <v>460</v>
      </c>
      <c r="J96" s="59" t="s">
        <v>461</v>
      </c>
      <c r="K96" s="59" t="s">
        <v>47</v>
      </c>
      <c r="L96" s="46" t="s">
        <v>819</v>
      </c>
      <c r="M96" s="46" t="s">
        <v>823</v>
      </c>
      <c r="N96" s="46">
        <v>71.92</v>
      </c>
      <c r="O96" s="46"/>
      <c r="P96" s="46"/>
      <c r="Q96" s="46"/>
      <c r="R96" s="46"/>
      <c r="S96" s="46"/>
      <c r="T96" s="46"/>
      <c r="U96" s="46"/>
      <c r="V96" s="46"/>
      <c r="W96" s="46"/>
    </row>
    <row r="97" spans="2:23" ht="63.75" hidden="1" x14ac:dyDescent="0.25">
      <c r="B97" s="60" t="s">
        <v>278</v>
      </c>
      <c r="C97" s="60"/>
      <c r="D97" s="60" t="s">
        <v>279</v>
      </c>
      <c r="E97" s="60"/>
      <c r="F97" s="60"/>
      <c r="G97" s="60"/>
      <c r="H97" s="60"/>
      <c r="I97" s="60"/>
      <c r="J97" s="60"/>
      <c r="K97" s="60"/>
      <c r="L97" s="142"/>
      <c r="M97" s="142"/>
      <c r="N97" s="142"/>
      <c r="O97" s="142"/>
      <c r="P97" s="142"/>
      <c r="Q97" s="142"/>
      <c r="R97" s="142"/>
      <c r="S97" s="142"/>
      <c r="T97" s="142"/>
      <c r="U97" s="142"/>
      <c r="V97" s="142"/>
      <c r="W97" s="142"/>
    </row>
    <row r="98" spans="2:23" ht="77.25" hidden="1" customHeight="1" x14ac:dyDescent="0.25">
      <c r="B98" s="59" t="s">
        <v>280</v>
      </c>
      <c r="C98" s="59" t="s">
        <v>635</v>
      </c>
      <c r="D98" s="59" t="s">
        <v>281</v>
      </c>
      <c r="E98" s="59" t="s">
        <v>506</v>
      </c>
      <c r="F98" s="59" t="s">
        <v>607</v>
      </c>
      <c r="G98" s="59" t="s">
        <v>507</v>
      </c>
      <c r="H98" s="59" t="s">
        <v>626</v>
      </c>
      <c r="I98" s="59" t="s">
        <v>460</v>
      </c>
      <c r="J98" s="59" t="s">
        <v>47</v>
      </c>
      <c r="K98" s="59" t="s">
        <v>47</v>
      </c>
      <c r="L98" s="46" t="s">
        <v>824</v>
      </c>
      <c r="M98" s="46" t="s">
        <v>825</v>
      </c>
      <c r="N98" s="46">
        <v>1082</v>
      </c>
      <c r="O98" s="46"/>
      <c r="P98" s="46"/>
      <c r="Q98" s="46"/>
      <c r="R98" s="46"/>
      <c r="S98" s="46"/>
      <c r="T98" s="46"/>
      <c r="U98" s="46"/>
      <c r="V98" s="46"/>
      <c r="W98" s="46"/>
    </row>
    <row r="99" spans="2:23" ht="123" hidden="1" customHeight="1" x14ac:dyDescent="0.25">
      <c r="B99" s="59" t="s">
        <v>282</v>
      </c>
      <c r="C99" s="59" t="s">
        <v>636</v>
      </c>
      <c r="D99" s="59" t="s">
        <v>283</v>
      </c>
      <c r="E99" s="59" t="s">
        <v>627</v>
      </c>
      <c r="F99" s="59" t="s">
        <v>607</v>
      </c>
      <c r="G99" s="59" t="s">
        <v>504</v>
      </c>
      <c r="H99" s="59" t="s">
        <v>628</v>
      </c>
      <c r="I99" s="59" t="s">
        <v>460</v>
      </c>
      <c r="J99" s="59" t="s">
        <v>47</v>
      </c>
      <c r="K99" s="59" t="s">
        <v>47</v>
      </c>
      <c r="L99" s="46" t="s">
        <v>824</v>
      </c>
      <c r="M99" s="46" t="s">
        <v>826</v>
      </c>
      <c r="N99" s="46">
        <v>729</v>
      </c>
      <c r="O99" s="46"/>
      <c r="P99" s="46"/>
      <c r="Q99" s="46"/>
      <c r="R99" s="46"/>
      <c r="S99" s="46"/>
      <c r="T99" s="46"/>
      <c r="U99" s="46"/>
      <c r="V99" s="46"/>
      <c r="W99" s="46"/>
    </row>
    <row r="100" spans="2:23" ht="127.5" hidden="1" x14ac:dyDescent="0.25">
      <c r="B100" s="59" t="s">
        <v>284</v>
      </c>
      <c r="C100" s="59" t="s">
        <v>637</v>
      </c>
      <c r="D100" s="59" t="s">
        <v>285</v>
      </c>
      <c r="E100" s="59" t="s">
        <v>629</v>
      </c>
      <c r="F100" s="59" t="s">
        <v>607</v>
      </c>
      <c r="G100" s="59" t="s">
        <v>458</v>
      </c>
      <c r="H100" s="59" t="s">
        <v>626</v>
      </c>
      <c r="I100" s="59" t="s">
        <v>460</v>
      </c>
      <c r="J100" s="59" t="s">
        <v>47</v>
      </c>
      <c r="K100" s="59" t="s">
        <v>47</v>
      </c>
      <c r="L100" s="46" t="s">
        <v>824</v>
      </c>
      <c r="M100" s="46" t="s">
        <v>827</v>
      </c>
      <c r="N100" s="46">
        <v>1113</v>
      </c>
      <c r="O100" s="46"/>
      <c r="P100" s="46"/>
      <c r="Q100" s="46"/>
      <c r="R100" s="46"/>
      <c r="S100" s="46"/>
      <c r="T100" s="46"/>
      <c r="U100" s="46"/>
      <c r="V100" s="46"/>
      <c r="W100" s="46"/>
    </row>
    <row r="101" spans="2:23" ht="127.5" hidden="1" x14ac:dyDescent="0.25">
      <c r="B101" s="59" t="s">
        <v>286</v>
      </c>
      <c r="C101" s="59" t="s">
        <v>638</v>
      </c>
      <c r="D101" s="59" t="s">
        <v>287</v>
      </c>
      <c r="E101" s="59" t="s">
        <v>630</v>
      </c>
      <c r="F101" s="59" t="s">
        <v>607</v>
      </c>
      <c r="G101" s="59" t="s">
        <v>472</v>
      </c>
      <c r="H101" s="59" t="s">
        <v>626</v>
      </c>
      <c r="I101" s="59" t="s">
        <v>460</v>
      </c>
      <c r="J101" s="59" t="s">
        <v>47</v>
      </c>
      <c r="K101" s="59" t="s">
        <v>47</v>
      </c>
      <c r="L101" s="46" t="s">
        <v>824</v>
      </c>
      <c r="M101" s="46" t="s">
        <v>827</v>
      </c>
      <c r="N101" s="46">
        <v>984</v>
      </c>
      <c r="O101" s="46"/>
      <c r="P101" s="46"/>
      <c r="Q101" s="46"/>
      <c r="R101" s="46"/>
      <c r="S101" s="46"/>
      <c r="T101" s="46"/>
      <c r="U101" s="46"/>
      <c r="V101" s="46"/>
      <c r="W101" s="46"/>
    </row>
    <row r="102" spans="2:23" ht="114.75" hidden="1" customHeight="1" x14ac:dyDescent="0.25">
      <c r="B102" s="59" t="s">
        <v>288</v>
      </c>
      <c r="C102" s="59" t="s">
        <v>639</v>
      </c>
      <c r="D102" s="59" t="s">
        <v>289</v>
      </c>
      <c r="E102" s="59" t="s">
        <v>631</v>
      </c>
      <c r="F102" s="59" t="s">
        <v>607</v>
      </c>
      <c r="G102" s="59" t="s">
        <v>542</v>
      </c>
      <c r="H102" s="59" t="s">
        <v>626</v>
      </c>
      <c r="I102" s="59" t="s">
        <v>460</v>
      </c>
      <c r="J102" s="59" t="s">
        <v>47</v>
      </c>
      <c r="K102" s="59" t="s">
        <v>47</v>
      </c>
      <c r="L102" s="46" t="s">
        <v>824</v>
      </c>
      <c r="M102" s="46" t="s">
        <v>825</v>
      </c>
      <c r="N102" s="46">
        <v>1038</v>
      </c>
      <c r="O102" s="46"/>
      <c r="P102" s="46"/>
      <c r="Q102" s="46"/>
      <c r="R102" s="46"/>
      <c r="S102" s="46"/>
      <c r="T102" s="46"/>
      <c r="U102" s="46"/>
      <c r="V102" s="46"/>
      <c r="W102" s="46"/>
    </row>
    <row r="103" spans="2:23" ht="79.5" hidden="1" customHeight="1" x14ac:dyDescent="0.25">
      <c r="B103" s="59" t="s">
        <v>290</v>
      </c>
      <c r="C103" s="59" t="s">
        <v>640</v>
      </c>
      <c r="D103" s="59" t="s">
        <v>291</v>
      </c>
      <c r="E103" s="59" t="s">
        <v>510</v>
      </c>
      <c r="F103" s="59" t="s">
        <v>632</v>
      </c>
      <c r="G103" s="59" t="s">
        <v>544</v>
      </c>
      <c r="H103" s="59" t="s">
        <v>626</v>
      </c>
      <c r="I103" s="59" t="s">
        <v>460</v>
      </c>
      <c r="J103" s="59" t="s">
        <v>47</v>
      </c>
      <c r="K103" s="59" t="s">
        <v>47</v>
      </c>
      <c r="L103" s="46" t="s">
        <v>824</v>
      </c>
      <c r="M103" s="46" t="s">
        <v>828</v>
      </c>
      <c r="N103" s="46">
        <v>1123</v>
      </c>
      <c r="O103" s="46"/>
      <c r="P103" s="46"/>
      <c r="Q103" s="46"/>
      <c r="R103" s="46"/>
      <c r="S103" s="46"/>
      <c r="T103" s="46"/>
      <c r="U103" s="46"/>
      <c r="V103" s="46"/>
      <c r="W103" s="46"/>
    </row>
    <row r="104" spans="2:23" ht="38.25" hidden="1" x14ac:dyDescent="0.25">
      <c r="B104" s="60" t="s">
        <v>295</v>
      </c>
      <c r="C104" s="60"/>
      <c r="D104" s="60" t="s">
        <v>296</v>
      </c>
      <c r="E104" s="60"/>
      <c r="F104" s="60"/>
      <c r="G104" s="60"/>
      <c r="H104" s="60"/>
      <c r="I104" s="60"/>
      <c r="J104" s="60"/>
      <c r="K104" s="60"/>
      <c r="L104" s="142"/>
      <c r="M104" s="142"/>
      <c r="N104" s="142"/>
      <c r="O104" s="142"/>
      <c r="P104" s="142"/>
      <c r="Q104" s="142"/>
      <c r="R104" s="142"/>
      <c r="S104" s="142"/>
      <c r="T104" s="142"/>
      <c r="U104" s="142"/>
      <c r="V104" s="142"/>
      <c r="W104" s="142"/>
    </row>
    <row r="105" spans="2:23" s="98" customFormat="1" ht="98.25" hidden="1" customHeight="1" x14ac:dyDescent="0.25">
      <c r="B105" s="54" t="s">
        <v>297</v>
      </c>
      <c r="C105" s="54" t="s">
        <v>647</v>
      </c>
      <c r="D105" s="54" t="s">
        <v>298</v>
      </c>
      <c r="E105" s="54" t="s">
        <v>541</v>
      </c>
      <c r="F105" s="54" t="s">
        <v>607</v>
      </c>
      <c r="G105" s="54" t="s">
        <v>542</v>
      </c>
      <c r="H105" s="54" t="s">
        <v>641</v>
      </c>
      <c r="I105" s="54" t="s">
        <v>460</v>
      </c>
      <c r="J105" s="54" t="s">
        <v>47</v>
      </c>
      <c r="K105" s="54" t="s">
        <v>47</v>
      </c>
      <c r="L105" s="89" t="s">
        <v>829</v>
      </c>
      <c r="M105" s="89" t="s">
        <v>830</v>
      </c>
      <c r="N105" s="89">
        <v>2</v>
      </c>
      <c r="O105" s="89"/>
      <c r="P105" s="89"/>
      <c r="Q105" s="89"/>
      <c r="R105" s="89"/>
      <c r="S105" s="89"/>
      <c r="T105" s="89"/>
      <c r="U105" s="89"/>
      <c r="V105" s="89"/>
      <c r="W105" s="89"/>
    </row>
    <row r="106" spans="2:23" s="98" customFormat="1" ht="89.25" hidden="1" x14ac:dyDescent="0.25">
      <c r="B106" s="54" t="s">
        <v>299</v>
      </c>
      <c r="C106" s="54" t="s">
        <v>648</v>
      </c>
      <c r="D106" s="54" t="s">
        <v>300</v>
      </c>
      <c r="E106" s="54" t="s">
        <v>471</v>
      </c>
      <c r="F106" s="54" t="s">
        <v>607</v>
      </c>
      <c r="G106" s="54" t="s">
        <v>472</v>
      </c>
      <c r="H106" s="54" t="s">
        <v>642</v>
      </c>
      <c r="I106" s="54" t="s">
        <v>460</v>
      </c>
      <c r="J106" s="54"/>
      <c r="K106" s="54"/>
      <c r="L106" s="89" t="s">
        <v>831</v>
      </c>
      <c r="M106" s="89" t="s">
        <v>832</v>
      </c>
      <c r="N106" s="89">
        <v>29</v>
      </c>
      <c r="O106" s="89" t="s">
        <v>833</v>
      </c>
      <c r="P106" s="89" t="s">
        <v>834</v>
      </c>
      <c r="Q106" s="89">
        <v>2.2799999999999998</v>
      </c>
      <c r="R106" s="89"/>
      <c r="S106" s="89"/>
      <c r="T106" s="89"/>
      <c r="U106" s="89"/>
      <c r="V106" s="89"/>
      <c r="W106" s="89"/>
    </row>
    <row r="107" spans="2:23" s="98" customFormat="1" ht="90" hidden="1" customHeight="1" x14ac:dyDescent="0.25">
      <c r="B107" s="54" t="s">
        <v>301</v>
      </c>
      <c r="C107" s="54" t="s">
        <v>649</v>
      </c>
      <c r="D107" s="54" t="s">
        <v>302</v>
      </c>
      <c r="E107" s="54" t="s">
        <v>541</v>
      </c>
      <c r="F107" s="54" t="s">
        <v>607</v>
      </c>
      <c r="G107" s="54" t="s">
        <v>542</v>
      </c>
      <c r="H107" s="54" t="s">
        <v>641</v>
      </c>
      <c r="I107" s="54" t="s">
        <v>460</v>
      </c>
      <c r="J107" s="54" t="s">
        <v>47</v>
      </c>
      <c r="K107" s="54" t="s">
        <v>47</v>
      </c>
      <c r="L107" s="89" t="s">
        <v>835</v>
      </c>
      <c r="M107" s="89" t="s">
        <v>836</v>
      </c>
      <c r="N107" s="89">
        <v>3</v>
      </c>
      <c r="O107" s="89" t="s">
        <v>833</v>
      </c>
      <c r="P107" s="89" t="s">
        <v>834</v>
      </c>
      <c r="Q107" s="89">
        <v>28.9</v>
      </c>
      <c r="R107" s="89"/>
      <c r="S107" s="89"/>
      <c r="T107" s="89"/>
      <c r="U107" s="89"/>
      <c r="V107" s="89"/>
      <c r="W107" s="89"/>
    </row>
    <row r="108" spans="2:23" s="98" customFormat="1" ht="87" hidden="1" customHeight="1" x14ac:dyDescent="0.25">
      <c r="B108" s="54" t="s">
        <v>303</v>
      </c>
      <c r="C108" s="54" t="s">
        <v>650</v>
      </c>
      <c r="D108" s="54" t="s">
        <v>304</v>
      </c>
      <c r="E108" s="54" t="s">
        <v>510</v>
      </c>
      <c r="F108" s="54" t="s">
        <v>607</v>
      </c>
      <c r="G108" s="54" t="s">
        <v>544</v>
      </c>
      <c r="H108" s="54" t="s">
        <v>642</v>
      </c>
      <c r="I108" s="54" t="s">
        <v>460</v>
      </c>
      <c r="J108" s="54"/>
      <c r="K108" s="54"/>
      <c r="L108" s="89" t="s">
        <v>835</v>
      </c>
      <c r="M108" s="89" t="s">
        <v>837</v>
      </c>
      <c r="N108" s="89">
        <v>1</v>
      </c>
      <c r="O108" s="89" t="s">
        <v>833</v>
      </c>
      <c r="P108" s="89" t="s">
        <v>834</v>
      </c>
      <c r="Q108" s="89">
        <v>30</v>
      </c>
      <c r="R108" s="89"/>
      <c r="S108" s="89"/>
      <c r="T108" s="89"/>
      <c r="U108" s="89"/>
      <c r="V108" s="89"/>
      <c r="W108" s="89"/>
    </row>
    <row r="109" spans="2:23" s="98" customFormat="1" ht="105" hidden="1" customHeight="1" x14ac:dyDescent="0.25">
      <c r="B109" s="54" t="s">
        <v>305</v>
      </c>
      <c r="C109" s="54" t="s">
        <v>651</v>
      </c>
      <c r="D109" s="54" t="s">
        <v>306</v>
      </c>
      <c r="E109" s="54" t="s">
        <v>456</v>
      </c>
      <c r="F109" s="54" t="s">
        <v>607</v>
      </c>
      <c r="G109" s="54" t="s">
        <v>463</v>
      </c>
      <c r="H109" s="54" t="s">
        <v>641</v>
      </c>
      <c r="I109" s="54" t="s">
        <v>460</v>
      </c>
      <c r="J109" s="54" t="s">
        <v>47</v>
      </c>
      <c r="K109" s="54" t="s">
        <v>47</v>
      </c>
      <c r="L109" s="89" t="s">
        <v>831</v>
      </c>
      <c r="M109" s="89" t="s">
        <v>956</v>
      </c>
      <c r="N109" s="89">
        <v>68</v>
      </c>
      <c r="O109" s="89" t="s">
        <v>833</v>
      </c>
      <c r="P109" s="89" t="s">
        <v>834</v>
      </c>
      <c r="Q109" s="89">
        <v>18.32</v>
      </c>
      <c r="R109" s="89"/>
      <c r="S109" s="89"/>
      <c r="T109" s="89"/>
      <c r="U109" s="89"/>
      <c r="V109" s="89"/>
      <c r="W109" s="89"/>
    </row>
    <row r="110" spans="2:23" s="98" customFormat="1" ht="89.25" hidden="1" x14ac:dyDescent="0.25">
      <c r="B110" s="54" t="s">
        <v>307</v>
      </c>
      <c r="C110" s="54" t="s">
        <v>652</v>
      </c>
      <c r="D110" s="54" t="s">
        <v>308</v>
      </c>
      <c r="E110" s="54" t="s">
        <v>456</v>
      </c>
      <c r="F110" s="54" t="s">
        <v>607</v>
      </c>
      <c r="G110" s="54" t="s">
        <v>463</v>
      </c>
      <c r="H110" s="54" t="s">
        <v>641</v>
      </c>
      <c r="I110" s="54" t="s">
        <v>460</v>
      </c>
      <c r="J110" s="54" t="s">
        <v>47</v>
      </c>
      <c r="K110" s="54" t="s">
        <v>47</v>
      </c>
      <c r="L110" s="89" t="s">
        <v>833</v>
      </c>
      <c r="M110" s="89" t="s">
        <v>834</v>
      </c>
      <c r="N110" s="106">
        <v>20.59</v>
      </c>
      <c r="O110" s="89" t="s">
        <v>831</v>
      </c>
      <c r="P110" s="89" t="s">
        <v>832</v>
      </c>
      <c r="Q110" s="89">
        <v>34</v>
      </c>
      <c r="R110" s="89"/>
      <c r="S110" s="89"/>
      <c r="T110" s="89"/>
      <c r="U110" s="89"/>
      <c r="V110" s="89"/>
      <c r="W110" s="89"/>
    </row>
    <row r="111" spans="2:23" ht="102" hidden="1" x14ac:dyDescent="0.25">
      <c r="B111" s="59" t="s">
        <v>309</v>
      </c>
      <c r="C111" s="59" t="s">
        <v>653</v>
      </c>
      <c r="D111" s="59" t="s">
        <v>310</v>
      </c>
      <c r="E111" s="59" t="s">
        <v>506</v>
      </c>
      <c r="F111" s="59" t="s">
        <v>607</v>
      </c>
      <c r="G111" s="59" t="s">
        <v>463</v>
      </c>
      <c r="H111" s="59" t="s">
        <v>641</v>
      </c>
      <c r="I111" s="59" t="s">
        <v>460</v>
      </c>
      <c r="J111" s="59" t="s">
        <v>47</v>
      </c>
      <c r="K111" s="59" t="s">
        <v>47</v>
      </c>
      <c r="L111" s="46" t="s">
        <v>835</v>
      </c>
      <c r="M111" s="46" t="s">
        <v>837</v>
      </c>
      <c r="N111" s="46">
        <v>1</v>
      </c>
      <c r="O111" s="46" t="s">
        <v>833</v>
      </c>
      <c r="P111" s="46" t="s">
        <v>834</v>
      </c>
      <c r="Q111" s="46">
        <v>20</v>
      </c>
      <c r="R111" s="46"/>
      <c r="S111" s="46"/>
      <c r="T111" s="46"/>
      <c r="U111" s="46"/>
      <c r="V111" s="46"/>
      <c r="W111" s="46"/>
    </row>
    <row r="112" spans="2:23" ht="114.75" hidden="1" x14ac:dyDescent="0.25">
      <c r="B112" s="59" t="s">
        <v>311</v>
      </c>
      <c r="C112" s="59" t="s">
        <v>654</v>
      </c>
      <c r="D112" s="59" t="s">
        <v>312</v>
      </c>
      <c r="E112" s="59" t="s">
        <v>510</v>
      </c>
      <c r="F112" s="59" t="s">
        <v>607</v>
      </c>
      <c r="G112" s="59" t="s">
        <v>463</v>
      </c>
      <c r="H112" s="59" t="s">
        <v>641</v>
      </c>
      <c r="I112" s="59" t="s">
        <v>460</v>
      </c>
      <c r="J112" s="59" t="s">
        <v>47</v>
      </c>
      <c r="K112" s="59" t="s">
        <v>47</v>
      </c>
      <c r="L112" s="46" t="s">
        <v>831</v>
      </c>
      <c r="M112" s="46" t="s">
        <v>832</v>
      </c>
      <c r="N112" s="46">
        <v>10</v>
      </c>
      <c r="O112" s="46" t="s">
        <v>833</v>
      </c>
      <c r="P112" s="46" t="s">
        <v>834</v>
      </c>
      <c r="Q112" s="46">
        <v>1</v>
      </c>
      <c r="R112" s="46"/>
      <c r="S112" s="46"/>
      <c r="T112" s="46"/>
      <c r="U112" s="46"/>
      <c r="V112" s="46"/>
      <c r="W112" s="46"/>
    </row>
    <row r="113" spans="2:26" ht="173.25" hidden="1" customHeight="1" x14ac:dyDescent="0.25">
      <c r="B113" s="59" t="s">
        <v>313</v>
      </c>
      <c r="C113" s="59" t="s">
        <v>655</v>
      </c>
      <c r="D113" s="59" t="s">
        <v>314</v>
      </c>
      <c r="E113" s="59" t="s">
        <v>471</v>
      </c>
      <c r="F113" s="59" t="s">
        <v>607</v>
      </c>
      <c r="G113" s="59" t="s">
        <v>472</v>
      </c>
      <c r="H113" s="59" t="s">
        <v>642</v>
      </c>
      <c r="I113" s="59" t="s">
        <v>460</v>
      </c>
      <c r="J113" s="59" t="s">
        <v>47</v>
      </c>
      <c r="K113" s="59" t="s">
        <v>47</v>
      </c>
      <c r="L113" s="46" t="s">
        <v>831</v>
      </c>
      <c r="M113" s="46" t="s">
        <v>832</v>
      </c>
      <c r="N113" s="46">
        <v>21</v>
      </c>
      <c r="O113" s="46" t="s">
        <v>829</v>
      </c>
      <c r="P113" s="46" t="s">
        <v>830</v>
      </c>
      <c r="Q113" s="46">
        <v>1</v>
      </c>
      <c r="R113" s="46"/>
      <c r="S113" s="46"/>
      <c r="T113" s="46"/>
      <c r="U113" s="46"/>
      <c r="V113" s="46"/>
      <c r="W113" s="46"/>
    </row>
    <row r="114" spans="2:26" ht="100.5" hidden="1" customHeight="1" x14ac:dyDescent="0.25">
      <c r="B114" s="59" t="s">
        <v>315</v>
      </c>
      <c r="C114" s="59" t="s">
        <v>656</v>
      </c>
      <c r="D114" s="59" t="s">
        <v>316</v>
      </c>
      <c r="E114" s="59" t="s">
        <v>503</v>
      </c>
      <c r="F114" s="59" t="s">
        <v>607</v>
      </c>
      <c r="G114" s="59" t="s">
        <v>472</v>
      </c>
      <c r="H114" s="59" t="s">
        <v>642</v>
      </c>
      <c r="I114" s="59" t="s">
        <v>460</v>
      </c>
      <c r="J114" s="59" t="s">
        <v>47</v>
      </c>
      <c r="K114" s="59" t="s">
        <v>47</v>
      </c>
      <c r="L114" s="46" t="s">
        <v>829</v>
      </c>
      <c r="M114" s="46" t="s">
        <v>830</v>
      </c>
      <c r="N114" s="46">
        <v>2</v>
      </c>
      <c r="O114" s="46" t="s">
        <v>835</v>
      </c>
      <c r="P114" s="46" t="s">
        <v>837</v>
      </c>
      <c r="Q114" s="46">
        <v>1</v>
      </c>
      <c r="R114" s="46" t="s">
        <v>833</v>
      </c>
      <c r="S114" s="46" t="s">
        <v>834</v>
      </c>
      <c r="T114" s="46">
        <v>10</v>
      </c>
      <c r="U114" s="46" t="s">
        <v>838</v>
      </c>
      <c r="V114" s="46" t="s">
        <v>839</v>
      </c>
      <c r="W114" s="46">
        <v>2</v>
      </c>
      <c r="X114" s="46" t="s">
        <v>831</v>
      </c>
      <c r="Y114" s="46" t="s">
        <v>832</v>
      </c>
      <c r="Z114" s="46">
        <v>8</v>
      </c>
    </row>
    <row r="115" spans="2:26" ht="77.25" hidden="1" customHeight="1" x14ac:dyDescent="0.25">
      <c r="B115" s="78" t="s">
        <v>317</v>
      </c>
      <c r="C115" s="79"/>
      <c r="D115" s="78" t="s">
        <v>318</v>
      </c>
      <c r="E115" s="78"/>
      <c r="F115" s="78"/>
      <c r="G115" s="78"/>
      <c r="H115" s="79"/>
      <c r="I115" s="78"/>
      <c r="J115" s="78"/>
      <c r="K115" s="78"/>
      <c r="L115" s="143"/>
      <c r="M115" s="144"/>
      <c r="N115" s="143"/>
      <c r="O115" s="143"/>
      <c r="P115" s="143"/>
      <c r="Q115" s="143"/>
      <c r="R115" s="144"/>
      <c r="S115" s="143"/>
      <c r="T115" s="143"/>
      <c r="U115" s="143"/>
      <c r="V115" s="143"/>
      <c r="W115" s="144"/>
    </row>
    <row r="116" spans="2:26" ht="63.75" hidden="1" x14ac:dyDescent="0.25">
      <c r="B116" s="117" t="s">
        <v>319</v>
      </c>
      <c r="C116" s="37"/>
      <c r="D116" s="37" t="s">
        <v>320</v>
      </c>
      <c r="E116" s="117"/>
      <c r="F116" s="37"/>
      <c r="G116" s="37"/>
      <c r="H116" s="117"/>
      <c r="I116" s="37"/>
      <c r="J116" s="37"/>
      <c r="K116" s="117"/>
      <c r="L116" s="140"/>
      <c r="M116" s="140"/>
      <c r="N116" s="141"/>
      <c r="O116" s="140"/>
      <c r="P116" s="140"/>
      <c r="Q116" s="141"/>
      <c r="R116" s="140"/>
      <c r="S116" s="140"/>
      <c r="T116" s="141"/>
      <c r="U116" s="140"/>
      <c r="V116" s="140"/>
      <c r="W116" s="141"/>
    </row>
    <row r="117" spans="2:26" ht="140.25" hidden="1" x14ac:dyDescent="0.25">
      <c r="B117" s="60" t="s">
        <v>321</v>
      </c>
      <c r="C117" s="60"/>
      <c r="D117" s="60" t="s">
        <v>322</v>
      </c>
      <c r="E117" s="60"/>
      <c r="F117" s="60"/>
      <c r="G117" s="60"/>
      <c r="H117" s="60"/>
      <c r="I117" s="60"/>
      <c r="J117" s="60"/>
      <c r="K117" s="60"/>
      <c r="L117" s="142"/>
      <c r="M117" s="142"/>
      <c r="N117" s="142"/>
      <c r="O117" s="142"/>
      <c r="P117" s="142"/>
      <c r="Q117" s="142"/>
      <c r="R117" s="142"/>
      <c r="S117" s="142"/>
      <c r="T117" s="142"/>
      <c r="U117" s="142"/>
      <c r="V117" s="142"/>
      <c r="W117" s="142"/>
    </row>
    <row r="118" spans="2:26" ht="114.75" hidden="1" x14ac:dyDescent="0.25">
      <c r="B118" s="59" t="s">
        <v>323</v>
      </c>
      <c r="C118" s="59" t="s">
        <v>938</v>
      </c>
      <c r="D118" s="59" t="s">
        <v>657</v>
      </c>
      <c r="E118" s="59" t="s">
        <v>506</v>
      </c>
      <c r="F118" s="59" t="s">
        <v>599</v>
      </c>
      <c r="G118" s="59" t="s">
        <v>507</v>
      </c>
      <c r="H118" s="59" t="s">
        <v>937</v>
      </c>
      <c r="I118" s="59" t="s">
        <v>509</v>
      </c>
      <c r="J118" s="59" t="s">
        <v>461</v>
      </c>
      <c r="K118" s="59" t="s">
        <v>47</v>
      </c>
      <c r="L118" s="46" t="s">
        <v>940</v>
      </c>
      <c r="M118" s="46" t="s">
        <v>840</v>
      </c>
      <c r="N118" s="46">
        <v>9</v>
      </c>
      <c r="O118" s="46"/>
      <c r="P118" s="46"/>
      <c r="Q118" s="46"/>
      <c r="R118" s="46"/>
      <c r="S118" s="46"/>
      <c r="T118" s="46"/>
      <c r="U118" s="46"/>
      <c r="V118" s="46"/>
      <c r="W118" s="46"/>
    </row>
    <row r="119" spans="2:26" ht="60" hidden="1" customHeight="1" x14ac:dyDescent="0.25">
      <c r="B119" s="117" t="s">
        <v>325</v>
      </c>
      <c r="C119" s="37"/>
      <c r="D119" s="37" t="s">
        <v>326</v>
      </c>
      <c r="E119" s="117"/>
      <c r="F119" s="117"/>
      <c r="G119" s="37"/>
      <c r="H119" s="37"/>
      <c r="I119" s="117"/>
      <c r="J119" s="117"/>
      <c r="K119" s="37"/>
      <c r="L119" s="140"/>
      <c r="M119" s="141"/>
      <c r="N119" s="141"/>
      <c r="O119" s="140"/>
      <c r="P119" s="140"/>
      <c r="Q119" s="141"/>
      <c r="R119" s="141"/>
      <c r="S119" s="140"/>
      <c r="T119" s="140"/>
      <c r="U119" s="141"/>
      <c r="V119" s="141"/>
      <c r="W119" s="140"/>
    </row>
    <row r="120" spans="2:26" ht="51" hidden="1" x14ac:dyDescent="0.25">
      <c r="B120" s="60" t="s">
        <v>327</v>
      </c>
      <c r="C120" s="60"/>
      <c r="D120" s="60" t="s">
        <v>328</v>
      </c>
      <c r="E120" s="60"/>
      <c r="F120" s="60"/>
      <c r="G120" s="60"/>
      <c r="H120" s="60"/>
      <c r="I120" s="60"/>
      <c r="J120" s="60"/>
      <c r="K120" s="60"/>
      <c r="L120" s="142"/>
      <c r="M120" s="142"/>
      <c r="N120" s="142"/>
      <c r="O120" s="142"/>
      <c r="P120" s="142"/>
      <c r="Q120" s="142"/>
      <c r="R120" s="142"/>
      <c r="S120" s="142"/>
      <c r="T120" s="142"/>
      <c r="U120" s="142"/>
      <c r="V120" s="142"/>
      <c r="W120" s="142"/>
    </row>
    <row r="121" spans="2:26" ht="38.25" hidden="1" x14ac:dyDescent="0.25">
      <c r="B121" s="80" t="s">
        <v>953</v>
      </c>
      <c r="C121" s="80"/>
      <c r="D121" s="81" t="s">
        <v>952</v>
      </c>
      <c r="E121" s="80"/>
      <c r="F121" s="80"/>
      <c r="G121" s="80"/>
      <c r="H121" s="80"/>
      <c r="I121" s="80"/>
      <c r="J121" s="80"/>
      <c r="K121" s="80"/>
      <c r="L121" s="147"/>
      <c r="M121" s="147"/>
      <c r="N121" s="147"/>
      <c r="O121" s="147"/>
      <c r="P121" s="147"/>
      <c r="Q121" s="147"/>
      <c r="R121" s="147"/>
      <c r="S121" s="147"/>
      <c r="T121" s="147"/>
      <c r="U121" s="147"/>
      <c r="V121" s="147"/>
      <c r="W121" s="147"/>
    </row>
    <row r="122" spans="2:26" ht="51" hidden="1" x14ac:dyDescent="0.25">
      <c r="B122" s="78" t="s">
        <v>658</v>
      </c>
      <c r="C122" s="79"/>
      <c r="D122" s="78" t="s">
        <v>330</v>
      </c>
      <c r="E122" s="78"/>
      <c r="F122" s="78"/>
      <c r="G122" s="78"/>
      <c r="H122" s="79"/>
      <c r="I122" s="78"/>
      <c r="J122" s="78"/>
      <c r="K122" s="78"/>
      <c r="L122" s="143"/>
      <c r="M122" s="144"/>
      <c r="N122" s="143"/>
      <c r="O122" s="143"/>
      <c r="P122" s="143"/>
      <c r="Q122" s="143"/>
      <c r="R122" s="144"/>
      <c r="S122" s="143"/>
      <c r="T122" s="143"/>
      <c r="U122" s="143"/>
      <c r="V122" s="143"/>
      <c r="W122" s="144"/>
    </row>
    <row r="123" spans="2:26" ht="63.75" hidden="1" x14ac:dyDescent="0.25">
      <c r="B123" s="117" t="s">
        <v>331</v>
      </c>
      <c r="C123" s="37"/>
      <c r="D123" s="37" t="s">
        <v>332</v>
      </c>
      <c r="E123" s="117"/>
      <c r="F123" s="117"/>
      <c r="G123" s="37"/>
      <c r="H123" s="37"/>
      <c r="I123" s="117"/>
      <c r="J123" s="117"/>
      <c r="K123" s="37"/>
      <c r="L123" s="140"/>
      <c r="M123" s="141"/>
      <c r="N123" s="141"/>
      <c r="O123" s="140"/>
      <c r="P123" s="140"/>
      <c r="Q123" s="141"/>
      <c r="R123" s="141"/>
      <c r="S123" s="140"/>
      <c r="T123" s="140"/>
      <c r="U123" s="141"/>
      <c r="V123" s="141"/>
      <c r="W123" s="140"/>
    </row>
    <row r="124" spans="2:26" ht="76.5" hidden="1" x14ac:dyDescent="0.25">
      <c r="B124" s="60" t="s">
        <v>659</v>
      </c>
      <c r="C124" s="60"/>
      <c r="D124" s="60" t="s">
        <v>334</v>
      </c>
      <c r="E124" s="60"/>
      <c r="F124" s="60"/>
      <c r="G124" s="60"/>
      <c r="H124" s="60"/>
      <c r="I124" s="60"/>
      <c r="J124" s="60"/>
      <c r="K124" s="60"/>
      <c r="L124" s="142"/>
      <c r="M124" s="142"/>
      <c r="N124" s="142"/>
      <c r="O124" s="142"/>
      <c r="P124" s="142"/>
      <c r="Q124" s="142"/>
      <c r="R124" s="142"/>
      <c r="S124" s="142"/>
      <c r="T124" s="142"/>
      <c r="U124" s="142"/>
      <c r="V124" s="142"/>
      <c r="W124" s="142"/>
    </row>
    <row r="125" spans="2:26" ht="113.25" hidden="1" customHeight="1" x14ac:dyDescent="0.25">
      <c r="B125" s="59" t="s">
        <v>335</v>
      </c>
      <c r="C125" s="59" t="s">
        <v>663</v>
      </c>
      <c r="D125" s="59" t="s">
        <v>336</v>
      </c>
      <c r="E125" s="59" t="s">
        <v>456</v>
      </c>
      <c r="F125" s="59" t="s">
        <v>660</v>
      </c>
      <c r="G125" s="59" t="s">
        <v>463</v>
      </c>
      <c r="H125" s="59" t="s">
        <v>661</v>
      </c>
      <c r="I125" s="59" t="s">
        <v>460</v>
      </c>
      <c r="J125" s="59" t="s">
        <v>461</v>
      </c>
      <c r="K125" s="59" t="s">
        <v>47</v>
      </c>
      <c r="L125" s="46" t="s">
        <v>841</v>
      </c>
      <c r="M125" s="46" t="s">
        <v>842</v>
      </c>
      <c r="N125" s="46">
        <v>1</v>
      </c>
      <c r="O125" s="46" t="s">
        <v>843</v>
      </c>
      <c r="P125" s="46" t="s">
        <v>844</v>
      </c>
      <c r="Q125" s="46">
        <v>2</v>
      </c>
      <c r="R125" s="46" t="s">
        <v>845</v>
      </c>
      <c r="S125" s="46" t="s">
        <v>846</v>
      </c>
      <c r="T125" s="46">
        <v>115</v>
      </c>
      <c r="U125" s="46"/>
      <c r="V125" s="46"/>
      <c r="W125" s="46"/>
    </row>
    <row r="126" spans="2:26" ht="117" hidden="1" customHeight="1" x14ac:dyDescent="0.25">
      <c r="B126" s="59" t="s">
        <v>337</v>
      </c>
      <c r="C126" s="59" t="s">
        <v>664</v>
      </c>
      <c r="D126" s="59" t="s">
        <v>338</v>
      </c>
      <c r="E126" s="59" t="s">
        <v>510</v>
      </c>
      <c r="F126" s="59" t="s">
        <v>660</v>
      </c>
      <c r="G126" s="59" t="s">
        <v>544</v>
      </c>
      <c r="H126" s="59" t="s">
        <v>662</v>
      </c>
      <c r="I126" s="59" t="s">
        <v>460</v>
      </c>
      <c r="J126" s="59" t="s">
        <v>461</v>
      </c>
      <c r="K126" s="59"/>
      <c r="L126" s="46" t="s">
        <v>841</v>
      </c>
      <c r="M126" s="46" t="s">
        <v>842</v>
      </c>
      <c r="N126" s="46">
        <v>1</v>
      </c>
      <c r="O126" s="46" t="s">
        <v>843</v>
      </c>
      <c r="P126" s="46" t="s">
        <v>844</v>
      </c>
      <c r="Q126" s="46">
        <v>4</v>
      </c>
      <c r="R126" s="46" t="s">
        <v>845</v>
      </c>
      <c r="S126" s="46" t="s">
        <v>846</v>
      </c>
      <c r="T126" s="46">
        <v>190</v>
      </c>
      <c r="U126" s="46"/>
      <c r="V126" s="46"/>
      <c r="W126" s="46"/>
    </row>
    <row r="127" spans="2:26" ht="38.25" hidden="1" x14ac:dyDescent="0.25">
      <c r="B127" s="60" t="s">
        <v>339</v>
      </c>
      <c r="C127" s="60"/>
      <c r="D127" s="60" t="s">
        <v>340</v>
      </c>
      <c r="E127" s="60"/>
      <c r="F127" s="60"/>
      <c r="G127" s="60"/>
      <c r="H127" s="60"/>
      <c r="I127" s="60"/>
      <c r="J127" s="60"/>
      <c r="K127" s="60"/>
      <c r="L127" s="142"/>
      <c r="M127" s="142"/>
      <c r="N127" s="142"/>
      <c r="O127" s="142"/>
      <c r="P127" s="142"/>
      <c r="Q127" s="142"/>
      <c r="R127" s="142"/>
      <c r="S127" s="142"/>
      <c r="T127" s="142"/>
      <c r="U127" s="142"/>
      <c r="V127" s="142"/>
      <c r="W127" s="142"/>
    </row>
    <row r="128" spans="2:26" ht="105.75" hidden="1" customHeight="1" x14ac:dyDescent="0.25">
      <c r="B128" s="59" t="s">
        <v>341</v>
      </c>
      <c r="C128" s="59" t="s">
        <v>668</v>
      </c>
      <c r="D128" s="59" t="s">
        <v>665</v>
      </c>
      <c r="E128" s="59" t="s">
        <v>456</v>
      </c>
      <c r="F128" s="59" t="s">
        <v>660</v>
      </c>
      <c r="G128" s="59" t="s">
        <v>463</v>
      </c>
      <c r="H128" s="59" t="s">
        <v>666</v>
      </c>
      <c r="I128" s="59" t="s">
        <v>460</v>
      </c>
      <c r="J128" s="59" t="s">
        <v>461</v>
      </c>
      <c r="K128" s="59" t="s">
        <v>47</v>
      </c>
      <c r="L128" s="46" t="s">
        <v>847</v>
      </c>
      <c r="M128" s="46" t="s">
        <v>848</v>
      </c>
      <c r="N128" s="46">
        <v>1</v>
      </c>
      <c r="O128" s="46" t="s">
        <v>845</v>
      </c>
      <c r="P128" s="46" t="s">
        <v>846</v>
      </c>
      <c r="Q128" s="46">
        <v>470</v>
      </c>
      <c r="R128" s="46"/>
      <c r="S128" s="46"/>
      <c r="T128" s="46"/>
      <c r="U128" s="46"/>
      <c r="V128" s="46"/>
      <c r="W128" s="46"/>
    </row>
    <row r="129" spans="2:23" ht="101.25" hidden="1" customHeight="1" x14ac:dyDescent="0.25">
      <c r="B129" s="59" t="s">
        <v>343</v>
      </c>
      <c r="C129" s="59" t="s">
        <v>669</v>
      </c>
      <c r="D129" s="59" t="s">
        <v>344</v>
      </c>
      <c r="E129" s="59" t="s">
        <v>471</v>
      </c>
      <c r="F129" s="59" t="s">
        <v>660</v>
      </c>
      <c r="G129" s="59" t="s">
        <v>667</v>
      </c>
      <c r="H129" s="59" t="s">
        <v>666</v>
      </c>
      <c r="I129" s="59" t="s">
        <v>460</v>
      </c>
      <c r="J129" s="59"/>
      <c r="K129" s="59"/>
      <c r="L129" s="46" t="s">
        <v>847</v>
      </c>
      <c r="M129" s="46" t="s">
        <v>848</v>
      </c>
      <c r="N129" s="46">
        <v>1</v>
      </c>
      <c r="O129" s="46" t="s">
        <v>845</v>
      </c>
      <c r="P129" s="46" t="s">
        <v>846</v>
      </c>
      <c r="Q129" s="46">
        <v>400</v>
      </c>
      <c r="R129" s="46"/>
      <c r="S129" s="46"/>
      <c r="T129" s="46"/>
      <c r="U129" s="46"/>
      <c r="V129" s="46"/>
      <c r="W129" s="46"/>
    </row>
    <row r="130" spans="2:23" ht="107.25" hidden="1" customHeight="1" x14ac:dyDescent="0.25">
      <c r="B130" s="59" t="s">
        <v>345</v>
      </c>
      <c r="C130" s="59" t="s">
        <v>670</v>
      </c>
      <c r="D130" s="59" t="s">
        <v>346</v>
      </c>
      <c r="E130" s="59" t="s">
        <v>503</v>
      </c>
      <c r="F130" s="59" t="s">
        <v>660</v>
      </c>
      <c r="G130" s="59" t="s">
        <v>534</v>
      </c>
      <c r="H130" s="59" t="s">
        <v>666</v>
      </c>
      <c r="I130" s="59" t="s">
        <v>460</v>
      </c>
      <c r="J130" s="59"/>
      <c r="K130" s="59"/>
      <c r="L130" s="46" t="s">
        <v>847</v>
      </c>
      <c r="M130" s="46" t="s">
        <v>848</v>
      </c>
      <c r="N130" s="46">
        <v>1</v>
      </c>
      <c r="O130" s="46" t="s">
        <v>845</v>
      </c>
      <c r="P130" s="46" t="s">
        <v>846</v>
      </c>
      <c r="Q130" s="46">
        <v>486</v>
      </c>
      <c r="R130" s="46"/>
      <c r="S130" s="46"/>
      <c r="T130" s="46"/>
      <c r="U130" s="46"/>
      <c r="V130" s="46"/>
      <c r="W130" s="46"/>
    </row>
    <row r="131" spans="2:23" ht="63" hidden="1" customHeight="1" x14ac:dyDescent="0.25">
      <c r="B131" s="117" t="s">
        <v>347</v>
      </c>
      <c r="C131" s="37"/>
      <c r="D131" s="37" t="s">
        <v>348</v>
      </c>
      <c r="E131" s="117"/>
      <c r="F131" s="117"/>
      <c r="G131" s="117" t="s">
        <v>671</v>
      </c>
      <c r="H131" s="37"/>
      <c r="I131" s="37"/>
      <c r="J131" s="117"/>
      <c r="K131" s="117"/>
      <c r="L131" s="141"/>
      <c r="M131" s="140"/>
      <c r="N131" s="140"/>
      <c r="O131" s="141"/>
      <c r="P131" s="141"/>
      <c r="Q131" s="141"/>
      <c r="R131" s="140"/>
      <c r="S131" s="140"/>
      <c r="T131" s="141"/>
      <c r="U131" s="141"/>
      <c r="V131" s="141"/>
      <c r="W131" s="140"/>
    </row>
    <row r="132" spans="2:23" ht="63.75" hidden="1" x14ac:dyDescent="0.25">
      <c r="B132" s="60" t="s">
        <v>349</v>
      </c>
      <c r="C132" s="60"/>
      <c r="D132" s="60" t="s">
        <v>350</v>
      </c>
      <c r="E132" s="60"/>
      <c r="F132" s="60"/>
      <c r="G132" s="60"/>
      <c r="H132" s="60"/>
      <c r="I132" s="60"/>
      <c r="J132" s="60"/>
      <c r="K132" s="60"/>
      <c r="L132" s="142"/>
      <c r="M132" s="142"/>
      <c r="N132" s="142"/>
      <c r="O132" s="142"/>
      <c r="P132" s="142"/>
      <c r="Q132" s="142"/>
      <c r="R132" s="142"/>
      <c r="S132" s="142"/>
      <c r="T132" s="142"/>
      <c r="U132" s="142"/>
      <c r="V132" s="142"/>
      <c r="W132" s="142"/>
    </row>
    <row r="133" spans="2:23" ht="127.5" hidden="1" x14ac:dyDescent="0.25">
      <c r="B133" s="59" t="s">
        <v>351</v>
      </c>
      <c r="C133" s="59" t="s">
        <v>675</v>
      </c>
      <c r="D133" s="59" t="s">
        <v>672</v>
      </c>
      <c r="E133" s="59" t="s">
        <v>456</v>
      </c>
      <c r="F133" s="59" t="s">
        <v>660</v>
      </c>
      <c r="G133" s="59" t="s">
        <v>458</v>
      </c>
      <c r="H133" s="59" t="s">
        <v>673</v>
      </c>
      <c r="I133" s="59" t="s">
        <v>460</v>
      </c>
      <c r="J133" s="59" t="s">
        <v>461</v>
      </c>
      <c r="K133" s="59" t="s">
        <v>47</v>
      </c>
      <c r="L133" s="46" t="s">
        <v>849</v>
      </c>
      <c r="M133" s="46" t="s">
        <v>850</v>
      </c>
      <c r="N133" s="46">
        <v>1</v>
      </c>
      <c r="O133" s="46" t="s">
        <v>845</v>
      </c>
      <c r="P133" s="46" t="s">
        <v>846</v>
      </c>
      <c r="Q133" s="46">
        <v>320</v>
      </c>
      <c r="R133" s="46"/>
      <c r="S133" s="46"/>
      <c r="T133" s="46"/>
      <c r="U133" s="46"/>
      <c r="V133" s="46"/>
      <c r="W133" s="46"/>
    </row>
    <row r="134" spans="2:23" ht="76.5" hidden="1" customHeight="1" x14ac:dyDescent="0.25">
      <c r="B134" s="59" t="s">
        <v>353</v>
      </c>
      <c r="C134" s="59" t="s">
        <v>676</v>
      </c>
      <c r="D134" s="59" t="s">
        <v>354</v>
      </c>
      <c r="E134" s="59" t="s">
        <v>474</v>
      </c>
      <c r="F134" s="59" t="s">
        <v>674</v>
      </c>
      <c r="G134" s="59" t="s">
        <v>475</v>
      </c>
      <c r="H134" s="59" t="s">
        <v>673</v>
      </c>
      <c r="I134" s="59" t="s">
        <v>468</v>
      </c>
      <c r="J134" s="59" t="s">
        <v>469</v>
      </c>
      <c r="K134" s="59" t="s">
        <v>470</v>
      </c>
      <c r="L134" s="46" t="s">
        <v>849</v>
      </c>
      <c r="M134" s="46" t="s">
        <v>850</v>
      </c>
      <c r="N134" s="46">
        <v>1</v>
      </c>
      <c r="O134" s="46" t="s">
        <v>845</v>
      </c>
      <c r="P134" s="46" t="s">
        <v>846</v>
      </c>
      <c r="Q134" s="46">
        <v>330</v>
      </c>
      <c r="R134" s="46"/>
      <c r="S134" s="46"/>
      <c r="T134" s="46"/>
      <c r="U134" s="46"/>
      <c r="V134" s="46"/>
      <c r="W134" s="46"/>
    </row>
    <row r="135" spans="2:23" ht="51" hidden="1" x14ac:dyDescent="0.25">
      <c r="B135" s="78" t="s">
        <v>355</v>
      </c>
      <c r="C135" s="79"/>
      <c r="D135" s="78" t="s">
        <v>356</v>
      </c>
      <c r="E135" s="78"/>
      <c r="F135" s="78"/>
      <c r="G135" s="79"/>
      <c r="H135" s="78"/>
      <c r="I135" s="78"/>
      <c r="J135" s="78"/>
      <c r="K135" s="79"/>
      <c r="L135" s="143"/>
      <c r="M135" s="143"/>
      <c r="N135" s="143"/>
      <c r="O135" s="144"/>
      <c r="P135" s="143"/>
      <c r="Q135" s="143"/>
      <c r="R135" s="143"/>
      <c r="S135" s="144"/>
      <c r="T135" s="143"/>
      <c r="U135" s="143"/>
      <c r="V135" s="143"/>
      <c r="W135" s="144"/>
    </row>
    <row r="136" spans="2:23" ht="93.75" hidden="1" customHeight="1" x14ac:dyDescent="0.25">
      <c r="B136" s="117" t="s">
        <v>357</v>
      </c>
      <c r="C136" s="37"/>
      <c r="D136" s="37" t="s">
        <v>358</v>
      </c>
      <c r="E136" s="117"/>
      <c r="F136" s="117"/>
      <c r="G136" s="117"/>
      <c r="H136" s="37"/>
      <c r="I136" s="37"/>
      <c r="J136" s="117"/>
      <c r="K136" s="117"/>
      <c r="L136" s="141"/>
      <c r="M136" s="140"/>
      <c r="N136" s="140"/>
      <c r="O136" s="141"/>
      <c r="P136" s="141"/>
      <c r="Q136" s="141"/>
      <c r="R136" s="140"/>
      <c r="S136" s="140"/>
      <c r="T136" s="141"/>
      <c r="U136" s="141"/>
      <c r="V136" s="141"/>
      <c r="W136" s="140"/>
    </row>
    <row r="137" spans="2:23" ht="101.25" hidden="1" customHeight="1" x14ac:dyDescent="0.25">
      <c r="B137" s="60" t="s">
        <v>359</v>
      </c>
      <c r="C137" s="60"/>
      <c r="D137" s="60" t="s">
        <v>360</v>
      </c>
      <c r="E137" s="60"/>
      <c r="F137" s="60"/>
      <c r="G137" s="60"/>
      <c r="H137" s="60"/>
      <c r="I137" s="60"/>
      <c r="J137" s="60"/>
      <c r="K137" s="60"/>
      <c r="L137" s="142"/>
      <c r="M137" s="142"/>
      <c r="N137" s="142"/>
      <c r="O137" s="142"/>
      <c r="P137" s="142"/>
      <c r="Q137" s="142"/>
      <c r="R137" s="142"/>
      <c r="S137" s="142"/>
      <c r="T137" s="142"/>
      <c r="U137" s="142"/>
      <c r="V137" s="142"/>
      <c r="W137" s="142"/>
    </row>
    <row r="138" spans="2:23" ht="202.5" hidden="1" customHeight="1" x14ac:dyDescent="0.25">
      <c r="B138" s="54" t="s">
        <v>973</v>
      </c>
      <c r="C138" s="54" t="s">
        <v>979</v>
      </c>
      <c r="D138" s="54" t="s">
        <v>985</v>
      </c>
      <c r="E138" s="54" t="s">
        <v>986</v>
      </c>
      <c r="F138" s="54" t="s">
        <v>678</v>
      </c>
      <c r="G138" s="54" t="s">
        <v>458</v>
      </c>
      <c r="H138" s="54" t="s">
        <v>902</v>
      </c>
      <c r="I138" s="54" t="s">
        <v>460</v>
      </c>
      <c r="J138" s="54" t="s">
        <v>47</v>
      </c>
      <c r="K138" s="54" t="s">
        <v>47</v>
      </c>
      <c r="L138" s="54" t="s">
        <v>987</v>
      </c>
      <c r="M138" s="54" t="s">
        <v>988</v>
      </c>
      <c r="N138" s="54">
        <v>21285</v>
      </c>
      <c r="O138" s="54" t="s">
        <v>989</v>
      </c>
      <c r="P138" s="54" t="s">
        <v>990</v>
      </c>
      <c r="Q138" s="54">
        <v>1</v>
      </c>
      <c r="R138" s="54"/>
      <c r="S138" s="54"/>
      <c r="T138" s="54"/>
      <c r="U138" s="54"/>
      <c r="V138" s="54"/>
      <c r="W138" s="54"/>
    </row>
    <row r="139" spans="2:23" ht="200.25" hidden="1" customHeight="1" x14ac:dyDescent="0.25">
      <c r="B139" s="54" t="s">
        <v>974</v>
      </c>
      <c r="C139" s="54" t="s">
        <v>980</v>
      </c>
      <c r="D139" s="54" t="s">
        <v>991</v>
      </c>
      <c r="E139" s="54" t="s">
        <v>992</v>
      </c>
      <c r="F139" s="54" t="s">
        <v>678</v>
      </c>
      <c r="G139" s="54" t="s">
        <v>534</v>
      </c>
      <c r="H139" s="54" t="s">
        <v>902</v>
      </c>
      <c r="I139" s="54" t="s">
        <v>460</v>
      </c>
      <c r="J139" s="54" t="s">
        <v>47</v>
      </c>
      <c r="K139" s="54" t="s">
        <v>47</v>
      </c>
      <c r="L139" s="54" t="s">
        <v>987</v>
      </c>
      <c r="M139" s="54" t="s">
        <v>988</v>
      </c>
      <c r="N139" s="54">
        <v>7287</v>
      </c>
      <c r="O139" s="54" t="s">
        <v>989</v>
      </c>
      <c r="P139" s="54" t="s">
        <v>990</v>
      </c>
      <c r="Q139" s="54">
        <v>1</v>
      </c>
      <c r="R139" s="89"/>
      <c r="S139" s="89"/>
      <c r="T139" s="89"/>
      <c r="U139" s="89"/>
      <c r="V139" s="89"/>
      <c r="W139" s="89"/>
    </row>
    <row r="140" spans="2:23" ht="204.75" hidden="1" customHeight="1" x14ac:dyDescent="0.25">
      <c r="B140" s="54" t="s">
        <v>975</v>
      </c>
      <c r="C140" s="54" t="s">
        <v>981</v>
      </c>
      <c r="D140" s="54" t="s">
        <v>1010</v>
      </c>
      <c r="E140" s="54" t="s">
        <v>995</v>
      </c>
      <c r="F140" s="54" t="s">
        <v>678</v>
      </c>
      <c r="G140" s="54" t="s">
        <v>534</v>
      </c>
      <c r="H140" s="54" t="s">
        <v>902</v>
      </c>
      <c r="I140" s="54" t="s">
        <v>460</v>
      </c>
      <c r="J140" s="54" t="s">
        <v>47</v>
      </c>
      <c r="K140" s="54" t="s">
        <v>47</v>
      </c>
      <c r="L140" s="89" t="s">
        <v>987</v>
      </c>
      <c r="M140" s="89" t="s">
        <v>988</v>
      </c>
      <c r="N140" s="89">
        <v>6819</v>
      </c>
      <c r="O140" s="89" t="s">
        <v>989</v>
      </c>
      <c r="P140" s="89" t="s">
        <v>990</v>
      </c>
      <c r="Q140" s="89">
        <v>1</v>
      </c>
      <c r="R140" s="89"/>
      <c r="S140" s="89"/>
      <c r="T140" s="89"/>
      <c r="U140" s="89"/>
      <c r="V140" s="89"/>
      <c r="W140" s="89"/>
    </row>
    <row r="141" spans="2:23" ht="172.5" hidden="1" customHeight="1" x14ac:dyDescent="0.25">
      <c r="B141" s="54" t="s">
        <v>976</v>
      </c>
      <c r="C141" s="54" t="s">
        <v>982</v>
      </c>
      <c r="D141" s="54" t="s">
        <v>996</v>
      </c>
      <c r="E141" s="54" t="s">
        <v>997</v>
      </c>
      <c r="F141" s="54" t="s">
        <v>678</v>
      </c>
      <c r="G141" s="54" t="s">
        <v>589</v>
      </c>
      <c r="H141" s="54" t="s">
        <v>902</v>
      </c>
      <c r="I141" s="54" t="s">
        <v>460</v>
      </c>
      <c r="J141" s="54" t="s">
        <v>47</v>
      </c>
      <c r="K141" s="54" t="s">
        <v>47</v>
      </c>
      <c r="L141" s="89" t="s">
        <v>987</v>
      </c>
      <c r="M141" s="89" t="s">
        <v>988</v>
      </c>
      <c r="N141" s="89">
        <v>15432</v>
      </c>
      <c r="O141" s="89" t="s">
        <v>989</v>
      </c>
      <c r="P141" s="89" t="s">
        <v>990</v>
      </c>
      <c r="Q141" s="89">
        <v>1</v>
      </c>
      <c r="R141" s="89"/>
      <c r="S141" s="89"/>
      <c r="T141" s="89"/>
      <c r="U141" s="89"/>
      <c r="V141" s="89"/>
      <c r="W141" s="89"/>
    </row>
    <row r="142" spans="2:23" ht="95.25" hidden="1" customHeight="1" x14ac:dyDescent="0.25">
      <c r="B142" s="54" t="s">
        <v>977</v>
      </c>
      <c r="C142" s="54" t="s">
        <v>983</v>
      </c>
      <c r="D142" s="54" t="s">
        <v>998</v>
      </c>
      <c r="E142" s="54" t="s">
        <v>682</v>
      </c>
      <c r="F142" s="54" t="s">
        <v>678</v>
      </c>
      <c r="G142" s="54" t="s">
        <v>511</v>
      </c>
      <c r="H142" s="54" t="s">
        <v>902</v>
      </c>
      <c r="I142" s="54" t="s">
        <v>460</v>
      </c>
      <c r="J142" s="54" t="s">
        <v>47</v>
      </c>
      <c r="K142" s="54" t="s">
        <v>47</v>
      </c>
      <c r="L142" s="89" t="s">
        <v>987</v>
      </c>
      <c r="M142" s="89" t="s">
        <v>988</v>
      </c>
      <c r="N142" s="89">
        <v>19722</v>
      </c>
      <c r="O142" s="89" t="s">
        <v>989</v>
      </c>
      <c r="P142" s="89" t="s">
        <v>990</v>
      </c>
      <c r="Q142" s="89">
        <v>1</v>
      </c>
      <c r="R142" s="89"/>
      <c r="S142" s="89"/>
      <c r="T142" s="89"/>
      <c r="U142" s="89"/>
      <c r="V142" s="89"/>
      <c r="W142" s="89"/>
    </row>
    <row r="143" spans="2:23" ht="95.25" hidden="1" customHeight="1" x14ac:dyDescent="0.25">
      <c r="B143" s="54" t="s">
        <v>978</v>
      </c>
      <c r="C143" s="54" t="s">
        <v>984</v>
      </c>
      <c r="D143" s="54" t="s">
        <v>1001</v>
      </c>
      <c r="E143" s="54" t="s">
        <v>1002</v>
      </c>
      <c r="F143" s="54" t="s">
        <v>678</v>
      </c>
      <c r="G143" s="54" t="s">
        <v>511</v>
      </c>
      <c r="H143" s="54" t="s">
        <v>902</v>
      </c>
      <c r="I143" s="54" t="s">
        <v>460</v>
      </c>
      <c r="J143" s="54" t="s">
        <v>47</v>
      </c>
      <c r="K143" s="54" t="s">
        <v>47</v>
      </c>
      <c r="L143" s="89" t="s">
        <v>987</v>
      </c>
      <c r="M143" s="89" t="s">
        <v>988</v>
      </c>
      <c r="N143" s="89">
        <v>1455</v>
      </c>
      <c r="O143" s="89" t="s">
        <v>989</v>
      </c>
      <c r="P143" s="89" t="s">
        <v>990</v>
      </c>
      <c r="Q143" s="89">
        <v>1</v>
      </c>
      <c r="R143" s="89"/>
      <c r="S143" s="89"/>
      <c r="T143" s="89"/>
      <c r="U143" s="89"/>
      <c r="V143" s="89"/>
      <c r="W143" s="89"/>
    </row>
    <row r="144" spans="2:23" ht="204" hidden="1" customHeight="1" x14ac:dyDescent="0.25">
      <c r="B144" s="54" t="s">
        <v>999</v>
      </c>
      <c r="C144" s="54" t="s">
        <v>1004</v>
      </c>
      <c r="D144" s="54" t="s">
        <v>1003</v>
      </c>
      <c r="E144" s="54" t="s">
        <v>1005</v>
      </c>
      <c r="F144" s="54" t="s">
        <v>678</v>
      </c>
      <c r="G144" s="54" t="s">
        <v>701</v>
      </c>
      <c r="H144" s="54" t="s">
        <v>902</v>
      </c>
      <c r="I144" s="54" t="s">
        <v>460</v>
      </c>
      <c r="J144" s="54" t="s">
        <v>47</v>
      </c>
      <c r="K144" s="54" t="s">
        <v>47</v>
      </c>
      <c r="L144" s="89" t="s">
        <v>987</v>
      </c>
      <c r="M144" s="89" t="s">
        <v>988</v>
      </c>
      <c r="N144" s="89">
        <v>14358</v>
      </c>
      <c r="O144" s="89" t="s">
        <v>989</v>
      </c>
      <c r="P144" s="89" t="s">
        <v>990</v>
      </c>
      <c r="Q144" s="89">
        <v>1</v>
      </c>
      <c r="R144" s="89"/>
      <c r="S144" s="89"/>
      <c r="T144" s="89"/>
      <c r="U144" s="89"/>
      <c r="V144" s="89"/>
      <c r="W144" s="89"/>
    </row>
    <row r="145" spans="2:23" ht="204" hidden="1" customHeight="1" x14ac:dyDescent="0.25">
      <c r="B145" s="54" t="s">
        <v>1000</v>
      </c>
      <c r="C145" s="54" t="s">
        <v>1007</v>
      </c>
      <c r="D145" s="54" t="s">
        <v>1009</v>
      </c>
      <c r="E145" s="54" t="s">
        <v>683</v>
      </c>
      <c r="F145" s="54" t="s">
        <v>678</v>
      </c>
      <c r="G145" s="54" t="s">
        <v>1008</v>
      </c>
      <c r="H145" s="54" t="s">
        <v>902</v>
      </c>
      <c r="I145" s="54" t="s">
        <v>460</v>
      </c>
      <c r="J145" s="54" t="s">
        <v>47</v>
      </c>
      <c r="K145" s="54" t="s">
        <v>47</v>
      </c>
      <c r="L145" s="89" t="s">
        <v>987</v>
      </c>
      <c r="M145" s="89" t="s">
        <v>988</v>
      </c>
      <c r="N145" s="89">
        <v>3536</v>
      </c>
      <c r="O145" s="89" t="s">
        <v>989</v>
      </c>
      <c r="P145" s="89" t="s">
        <v>990</v>
      </c>
      <c r="Q145" s="89">
        <v>1</v>
      </c>
      <c r="R145" s="89"/>
      <c r="S145" s="89"/>
      <c r="T145" s="89"/>
      <c r="U145" s="89"/>
      <c r="V145" s="89"/>
      <c r="W145" s="89"/>
    </row>
    <row r="146" spans="2:23" ht="149.25" hidden="1" customHeight="1" x14ac:dyDescent="0.25">
      <c r="B146" s="60" t="s">
        <v>361</v>
      </c>
      <c r="C146" s="60"/>
      <c r="D146" s="60" t="s">
        <v>362</v>
      </c>
      <c r="E146" s="60"/>
      <c r="F146" s="60"/>
      <c r="G146" s="60"/>
      <c r="H146" s="60"/>
      <c r="I146" s="60"/>
      <c r="J146" s="60"/>
      <c r="K146" s="60"/>
      <c r="L146" s="142"/>
      <c r="M146" s="142"/>
      <c r="N146" s="142"/>
      <c r="O146" s="142"/>
      <c r="P146" s="142"/>
      <c r="Q146" s="142"/>
      <c r="R146" s="142"/>
      <c r="S146" s="142"/>
      <c r="T146" s="142"/>
      <c r="U146" s="142"/>
      <c r="V146" s="142"/>
      <c r="W146" s="142"/>
    </row>
    <row r="147" spans="2:23" ht="161.25" hidden="1" customHeight="1" x14ac:dyDescent="0.25">
      <c r="B147" s="59" t="s">
        <v>363</v>
      </c>
      <c r="C147" s="59" t="s">
        <v>687</v>
      </c>
      <c r="D147" s="59" t="s">
        <v>364</v>
      </c>
      <c r="E147" s="59" t="s">
        <v>677</v>
      </c>
      <c r="F147" s="59" t="s">
        <v>678</v>
      </c>
      <c r="G147" s="59" t="s">
        <v>458</v>
      </c>
      <c r="H147" s="59" t="s">
        <v>679</v>
      </c>
      <c r="I147" s="59" t="s">
        <v>460</v>
      </c>
      <c r="J147" s="59" t="s">
        <v>47</v>
      </c>
      <c r="K147" s="59" t="s">
        <v>47</v>
      </c>
      <c r="L147" s="46" t="s">
        <v>851</v>
      </c>
      <c r="M147" s="46" t="s">
        <v>852</v>
      </c>
      <c r="N147" s="46">
        <v>32</v>
      </c>
      <c r="O147" s="46"/>
      <c r="P147" s="46"/>
      <c r="Q147" s="46"/>
      <c r="R147" s="46"/>
      <c r="S147" s="46"/>
      <c r="T147" s="46"/>
      <c r="U147" s="46"/>
      <c r="V147" s="46"/>
      <c r="W147" s="46"/>
    </row>
    <row r="148" spans="2:23" ht="166.5" hidden="1" customHeight="1" x14ac:dyDescent="0.25">
      <c r="B148" s="59" t="s">
        <v>365</v>
      </c>
      <c r="C148" s="59" t="s">
        <v>688</v>
      </c>
      <c r="D148" s="59" t="s">
        <v>366</v>
      </c>
      <c r="E148" s="59" t="s">
        <v>680</v>
      </c>
      <c r="F148" s="59" t="s">
        <v>678</v>
      </c>
      <c r="G148" s="59" t="s">
        <v>534</v>
      </c>
      <c r="H148" s="59" t="s">
        <v>679</v>
      </c>
      <c r="I148" s="59" t="s">
        <v>460</v>
      </c>
      <c r="J148" s="59" t="s">
        <v>47</v>
      </c>
      <c r="K148" s="59" t="s">
        <v>47</v>
      </c>
      <c r="L148" s="46" t="s">
        <v>851</v>
      </c>
      <c r="M148" s="46" t="s">
        <v>852</v>
      </c>
      <c r="N148" s="46">
        <v>15</v>
      </c>
      <c r="O148" s="46"/>
      <c r="P148" s="46"/>
      <c r="Q148" s="46"/>
      <c r="R148" s="46"/>
      <c r="S148" s="46"/>
      <c r="T148" s="46"/>
      <c r="U148" s="46"/>
      <c r="V148" s="46"/>
      <c r="W148" s="46"/>
    </row>
    <row r="149" spans="2:23" ht="166.5" hidden="1" customHeight="1" x14ac:dyDescent="0.25">
      <c r="B149" s="59" t="s">
        <v>367</v>
      </c>
      <c r="C149" s="59" t="s">
        <v>689</v>
      </c>
      <c r="D149" s="59" t="s">
        <v>368</v>
      </c>
      <c r="E149" s="59" t="s">
        <v>681</v>
      </c>
      <c r="F149" s="59" t="s">
        <v>678</v>
      </c>
      <c r="G149" s="59" t="s">
        <v>589</v>
      </c>
      <c r="H149" s="59" t="s">
        <v>679</v>
      </c>
      <c r="I149" s="59" t="s">
        <v>460</v>
      </c>
      <c r="J149" s="59" t="s">
        <v>47</v>
      </c>
      <c r="K149" s="59" t="s">
        <v>47</v>
      </c>
      <c r="L149" s="46" t="s">
        <v>851</v>
      </c>
      <c r="M149" s="46" t="s">
        <v>852</v>
      </c>
      <c r="N149" s="46">
        <v>19</v>
      </c>
      <c r="O149" s="46"/>
      <c r="P149" s="46"/>
      <c r="Q149" s="46"/>
      <c r="R149" s="46"/>
      <c r="S149" s="46"/>
      <c r="T149" s="46"/>
      <c r="U149" s="46"/>
      <c r="V149" s="46"/>
      <c r="W149" s="46"/>
    </row>
    <row r="150" spans="2:23" ht="165" hidden="1" customHeight="1" x14ac:dyDescent="0.25">
      <c r="B150" s="59" t="s">
        <v>369</v>
      </c>
      <c r="C150" s="59" t="s">
        <v>690</v>
      </c>
      <c r="D150" s="59" t="s">
        <v>370</v>
      </c>
      <c r="E150" s="59" t="s">
        <v>682</v>
      </c>
      <c r="F150" s="59" t="s">
        <v>678</v>
      </c>
      <c r="G150" s="59" t="s">
        <v>511</v>
      </c>
      <c r="H150" s="59" t="s">
        <v>679</v>
      </c>
      <c r="I150" s="59" t="s">
        <v>460</v>
      </c>
      <c r="J150" s="59" t="s">
        <v>47</v>
      </c>
      <c r="K150" s="59" t="s">
        <v>47</v>
      </c>
      <c r="L150" s="46" t="s">
        <v>851</v>
      </c>
      <c r="M150" s="46" t="s">
        <v>852</v>
      </c>
      <c r="N150" s="46">
        <v>13</v>
      </c>
      <c r="O150" s="46"/>
      <c r="P150" s="46"/>
      <c r="Q150" s="46"/>
      <c r="R150" s="46"/>
      <c r="S150" s="46"/>
      <c r="T150" s="46"/>
      <c r="U150" s="46"/>
      <c r="V150" s="46"/>
      <c r="W150" s="46"/>
    </row>
    <row r="151" spans="2:23" ht="170.25" hidden="1" customHeight="1" x14ac:dyDescent="0.25">
      <c r="B151" s="59" t="s">
        <v>371</v>
      </c>
      <c r="C151" s="59" t="s">
        <v>691</v>
      </c>
      <c r="D151" s="59" t="s">
        <v>372</v>
      </c>
      <c r="E151" s="59" t="s">
        <v>683</v>
      </c>
      <c r="F151" s="59" t="s">
        <v>678</v>
      </c>
      <c r="G151" s="59" t="s">
        <v>684</v>
      </c>
      <c r="H151" s="59" t="s">
        <v>679</v>
      </c>
      <c r="I151" s="59" t="s">
        <v>460</v>
      </c>
      <c r="J151" s="59" t="s">
        <v>47</v>
      </c>
      <c r="K151" s="59" t="s">
        <v>47</v>
      </c>
      <c r="L151" s="46" t="s">
        <v>851</v>
      </c>
      <c r="M151" s="46" t="s">
        <v>852</v>
      </c>
      <c r="N151" s="46">
        <v>5</v>
      </c>
      <c r="O151" s="46"/>
      <c r="P151" s="46"/>
      <c r="Q151" s="46"/>
      <c r="R151" s="46"/>
      <c r="S151" s="46"/>
      <c r="T151" s="46"/>
      <c r="U151" s="46"/>
      <c r="V151" s="46"/>
      <c r="W151" s="46"/>
    </row>
    <row r="152" spans="2:23" ht="168" hidden="1" customHeight="1" x14ac:dyDescent="0.25">
      <c r="B152" s="59" t="s">
        <v>373</v>
      </c>
      <c r="C152" s="59" t="s">
        <v>692</v>
      </c>
      <c r="D152" s="59" t="s">
        <v>374</v>
      </c>
      <c r="E152" s="59" t="s">
        <v>685</v>
      </c>
      <c r="F152" s="59" t="s">
        <v>678</v>
      </c>
      <c r="G152" s="59" t="s">
        <v>686</v>
      </c>
      <c r="H152" s="59" t="s">
        <v>679</v>
      </c>
      <c r="I152" s="59" t="s">
        <v>460</v>
      </c>
      <c r="J152" s="59" t="s">
        <v>47</v>
      </c>
      <c r="K152" s="59" t="s">
        <v>47</v>
      </c>
      <c r="L152" s="46" t="s">
        <v>851</v>
      </c>
      <c r="M152" s="46" t="s">
        <v>852</v>
      </c>
      <c r="N152" s="46">
        <v>17</v>
      </c>
      <c r="O152" s="46"/>
      <c r="P152" s="46"/>
      <c r="Q152" s="46"/>
      <c r="R152" s="46"/>
      <c r="S152" s="46"/>
      <c r="T152" s="46"/>
      <c r="U152" s="46"/>
      <c r="V152" s="46"/>
      <c r="W152" s="46"/>
    </row>
    <row r="153" spans="2:23" ht="82.5" hidden="1" customHeight="1" x14ac:dyDescent="0.25">
      <c r="B153" s="117" t="s">
        <v>375</v>
      </c>
      <c r="C153" s="37"/>
      <c r="D153" s="37" t="s">
        <v>376</v>
      </c>
      <c r="E153" s="117"/>
      <c r="F153" s="117"/>
      <c r="G153" s="117"/>
      <c r="H153" s="37"/>
      <c r="I153" s="37"/>
      <c r="J153" s="117"/>
      <c r="K153" s="117"/>
      <c r="L153" s="141"/>
      <c r="M153" s="140"/>
      <c r="N153" s="140"/>
      <c r="O153" s="141"/>
      <c r="P153" s="141"/>
      <c r="Q153" s="141"/>
      <c r="R153" s="140"/>
      <c r="S153" s="140"/>
      <c r="T153" s="141"/>
      <c r="U153" s="141"/>
      <c r="V153" s="141"/>
      <c r="W153" s="140"/>
    </row>
    <row r="154" spans="2:23" ht="51" hidden="1" x14ac:dyDescent="0.25">
      <c r="B154" s="60" t="s">
        <v>377</v>
      </c>
      <c r="C154" s="60"/>
      <c r="D154" s="60" t="s">
        <v>693</v>
      </c>
      <c r="E154" s="60"/>
      <c r="F154" s="60"/>
      <c r="G154" s="60"/>
      <c r="H154" s="60"/>
      <c r="I154" s="60"/>
      <c r="J154" s="60"/>
      <c r="K154" s="60"/>
      <c r="L154" s="142"/>
      <c r="M154" s="142"/>
      <c r="N154" s="142"/>
      <c r="O154" s="142"/>
      <c r="P154" s="142"/>
      <c r="Q154" s="142"/>
      <c r="R154" s="142"/>
      <c r="S154" s="142"/>
      <c r="T154" s="142"/>
      <c r="U154" s="142"/>
      <c r="V154" s="142"/>
      <c r="W154" s="142"/>
    </row>
    <row r="155" spans="2:23" ht="153" hidden="1" x14ac:dyDescent="0.25">
      <c r="B155" s="59" t="s">
        <v>704</v>
      </c>
      <c r="C155" s="59" t="s">
        <v>707</v>
      </c>
      <c r="D155" s="59" t="s">
        <v>380</v>
      </c>
      <c r="E155" s="59" t="s">
        <v>694</v>
      </c>
      <c r="F155" s="59" t="s">
        <v>695</v>
      </c>
      <c r="G155" s="59" t="s">
        <v>458</v>
      </c>
      <c r="H155" s="59" t="s">
        <v>696</v>
      </c>
      <c r="I155" s="59" t="s">
        <v>460</v>
      </c>
      <c r="J155" s="59" t="s">
        <v>697</v>
      </c>
      <c r="K155" s="59" t="s">
        <v>697</v>
      </c>
      <c r="L155" s="46" t="s">
        <v>853</v>
      </c>
      <c r="M155" s="46" t="s">
        <v>854</v>
      </c>
      <c r="N155" s="46">
        <v>2100</v>
      </c>
      <c r="O155" s="46" t="s">
        <v>855</v>
      </c>
      <c r="P155" s="46" t="s">
        <v>856</v>
      </c>
      <c r="Q155" s="46">
        <v>1</v>
      </c>
      <c r="R155" s="46"/>
      <c r="S155" s="46"/>
      <c r="T155" s="46"/>
      <c r="U155" s="46"/>
      <c r="V155" s="46"/>
      <c r="W155" s="46"/>
    </row>
    <row r="156" spans="2:23" ht="153" hidden="1" x14ac:dyDescent="0.25">
      <c r="B156" s="59" t="s">
        <v>705</v>
      </c>
      <c r="C156" s="59" t="s">
        <v>708</v>
      </c>
      <c r="D156" s="59" t="s">
        <v>382</v>
      </c>
      <c r="E156" s="59" t="s">
        <v>698</v>
      </c>
      <c r="F156" s="59" t="s">
        <v>695</v>
      </c>
      <c r="G156" s="59" t="s">
        <v>589</v>
      </c>
      <c r="H156" s="59" t="s">
        <v>696</v>
      </c>
      <c r="I156" s="59" t="s">
        <v>460</v>
      </c>
      <c r="J156" s="59" t="s">
        <v>47</v>
      </c>
      <c r="K156" s="59" t="s">
        <v>47</v>
      </c>
      <c r="L156" s="46" t="s">
        <v>853</v>
      </c>
      <c r="M156" s="46" t="s">
        <v>857</v>
      </c>
      <c r="N156" s="46">
        <v>1782</v>
      </c>
      <c r="O156" s="46"/>
      <c r="P156" s="46"/>
      <c r="Q156" s="46"/>
      <c r="R156" s="46"/>
      <c r="S156" s="46"/>
      <c r="T156" s="46"/>
      <c r="U156" s="46"/>
      <c r="V156" s="46"/>
      <c r="W156" s="46"/>
    </row>
    <row r="157" spans="2:23" ht="153" hidden="1" x14ac:dyDescent="0.25">
      <c r="B157" s="59" t="s">
        <v>706</v>
      </c>
      <c r="C157" s="59" t="s">
        <v>709</v>
      </c>
      <c r="D157" s="59" t="s">
        <v>384</v>
      </c>
      <c r="E157" s="59" t="s">
        <v>699</v>
      </c>
      <c r="F157" s="59" t="s">
        <v>695</v>
      </c>
      <c r="G157" s="59" t="s">
        <v>511</v>
      </c>
      <c r="H157" s="59" t="s">
        <v>696</v>
      </c>
      <c r="I157" s="59" t="s">
        <v>460</v>
      </c>
      <c r="J157" s="59" t="s">
        <v>47</v>
      </c>
      <c r="K157" s="59" t="s">
        <v>47</v>
      </c>
      <c r="L157" s="46" t="s">
        <v>853</v>
      </c>
      <c r="M157" s="46" t="s">
        <v>858</v>
      </c>
      <c r="N157" s="46">
        <v>2488</v>
      </c>
      <c r="O157" s="46"/>
      <c r="P157" s="46"/>
      <c r="Q157" s="46"/>
      <c r="R157" s="46"/>
      <c r="S157" s="46"/>
      <c r="T157" s="46"/>
      <c r="U157" s="46"/>
      <c r="V157" s="46"/>
      <c r="W157" s="46"/>
    </row>
    <row r="158" spans="2:23" ht="153" hidden="1" x14ac:dyDescent="0.25">
      <c r="B158" s="59" t="s">
        <v>385</v>
      </c>
      <c r="C158" s="59" t="s">
        <v>710</v>
      </c>
      <c r="D158" s="59" t="s">
        <v>386</v>
      </c>
      <c r="E158" s="59" t="s">
        <v>700</v>
      </c>
      <c r="F158" s="59" t="s">
        <v>695</v>
      </c>
      <c r="G158" s="59" t="s">
        <v>701</v>
      </c>
      <c r="H158" s="59" t="s">
        <v>696</v>
      </c>
      <c r="I158" s="59" t="s">
        <v>460</v>
      </c>
      <c r="J158" s="59" t="s">
        <v>697</v>
      </c>
      <c r="K158" s="59" t="s">
        <v>697</v>
      </c>
      <c r="L158" s="46" t="s">
        <v>853</v>
      </c>
      <c r="M158" s="46" t="s">
        <v>859</v>
      </c>
      <c r="N158" s="46">
        <v>1414</v>
      </c>
      <c r="O158" s="46"/>
      <c r="P158" s="46"/>
      <c r="Q158" s="46"/>
      <c r="R158" s="46"/>
      <c r="S158" s="46"/>
      <c r="T158" s="46"/>
      <c r="U158" s="46"/>
      <c r="V158" s="46"/>
      <c r="W158" s="46"/>
    </row>
    <row r="159" spans="2:23" ht="153" hidden="1" x14ac:dyDescent="0.25">
      <c r="B159" s="59" t="s">
        <v>387</v>
      </c>
      <c r="C159" s="59" t="s">
        <v>711</v>
      </c>
      <c r="D159" s="59" t="s">
        <v>388</v>
      </c>
      <c r="E159" s="59" t="s">
        <v>702</v>
      </c>
      <c r="F159" s="59" t="s">
        <v>678</v>
      </c>
      <c r="G159" s="59" t="s">
        <v>534</v>
      </c>
      <c r="H159" s="59" t="s">
        <v>696</v>
      </c>
      <c r="I159" s="59" t="s">
        <v>460</v>
      </c>
      <c r="J159" s="59" t="s">
        <v>47</v>
      </c>
      <c r="K159" s="59" t="s">
        <v>47</v>
      </c>
      <c r="L159" s="46" t="s">
        <v>853</v>
      </c>
      <c r="M159" s="46" t="s">
        <v>860</v>
      </c>
      <c r="N159" s="46">
        <v>591</v>
      </c>
      <c r="O159" s="46"/>
      <c r="P159" s="46"/>
      <c r="Q159" s="46"/>
      <c r="R159" s="46"/>
      <c r="S159" s="46"/>
      <c r="T159" s="46"/>
      <c r="U159" s="46"/>
      <c r="V159" s="46"/>
      <c r="W159" s="46"/>
    </row>
    <row r="160" spans="2:23" ht="153" hidden="1" x14ac:dyDescent="0.25">
      <c r="B160" s="59" t="s">
        <v>389</v>
      </c>
      <c r="C160" s="59" t="s">
        <v>712</v>
      </c>
      <c r="D160" s="59" t="s">
        <v>390</v>
      </c>
      <c r="E160" s="59" t="s">
        <v>703</v>
      </c>
      <c r="F160" s="59" t="s">
        <v>678</v>
      </c>
      <c r="G160" s="59" t="s">
        <v>684</v>
      </c>
      <c r="H160" s="59" t="s">
        <v>696</v>
      </c>
      <c r="I160" s="59" t="s">
        <v>460</v>
      </c>
      <c r="J160" s="59" t="s">
        <v>47</v>
      </c>
      <c r="K160" s="59" t="s">
        <v>47</v>
      </c>
      <c r="L160" s="46" t="s">
        <v>853</v>
      </c>
      <c r="M160" s="46" t="s">
        <v>861</v>
      </c>
      <c r="N160" s="46">
        <v>500</v>
      </c>
      <c r="O160" s="46"/>
      <c r="P160" s="46"/>
      <c r="Q160" s="46"/>
      <c r="R160" s="46"/>
      <c r="S160" s="46"/>
      <c r="T160" s="46"/>
      <c r="U160" s="46"/>
      <c r="V160" s="46"/>
      <c r="W160" s="46"/>
    </row>
    <row r="161" spans="2:23" ht="76.5" hidden="1" x14ac:dyDescent="0.25">
      <c r="B161" s="117" t="s">
        <v>391</v>
      </c>
      <c r="C161" s="37"/>
      <c r="D161" s="37" t="s">
        <v>392</v>
      </c>
      <c r="E161" s="117"/>
      <c r="F161" s="117"/>
      <c r="G161" s="117"/>
      <c r="H161" s="37"/>
      <c r="I161" s="37"/>
      <c r="J161" s="117"/>
      <c r="K161" s="117"/>
      <c r="L161" s="141"/>
      <c r="M161" s="140"/>
      <c r="N161" s="140"/>
      <c r="O161" s="141"/>
      <c r="P161" s="141"/>
      <c r="Q161" s="141"/>
      <c r="R161" s="140"/>
      <c r="S161" s="140"/>
      <c r="T161" s="141"/>
      <c r="U161" s="141"/>
      <c r="V161" s="141"/>
      <c r="W161" s="140"/>
    </row>
    <row r="162" spans="2:23" ht="51" hidden="1" x14ac:dyDescent="0.25">
      <c r="B162" s="60" t="s">
        <v>393</v>
      </c>
      <c r="C162" s="60"/>
      <c r="D162" s="60" t="s">
        <v>394</v>
      </c>
      <c r="E162" s="60"/>
      <c r="F162" s="60"/>
      <c r="G162" s="60"/>
      <c r="H162" s="60"/>
      <c r="I162" s="60"/>
      <c r="J162" s="60"/>
      <c r="K162" s="60"/>
      <c r="L162" s="142"/>
      <c r="M162" s="142"/>
      <c r="N162" s="142"/>
      <c r="O162" s="142"/>
      <c r="P162" s="142"/>
      <c r="Q162" s="142"/>
      <c r="R162" s="142"/>
      <c r="S162" s="142"/>
      <c r="T162" s="142"/>
      <c r="U162" s="142"/>
      <c r="V162" s="142"/>
      <c r="W162" s="142"/>
    </row>
    <row r="163" spans="2:23" ht="114.75" hidden="1" x14ac:dyDescent="0.25">
      <c r="B163" s="59" t="s">
        <v>395</v>
      </c>
      <c r="C163" s="59" t="s">
        <v>716</v>
      </c>
      <c r="D163" s="59" t="s">
        <v>396</v>
      </c>
      <c r="E163" s="59" t="s">
        <v>456</v>
      </c>
      <c r="F163" s="59" t="s">
        <v>713</v>
      </c>
      <c r="G163" s="59" t="s">
        <v>463</v>
      </c>
      <c r="H163" s="59" t="s">
        <v>714</v>
      </c>
      <c r="I163" s="59" t="s">
        <v>460</v>
      </c>
      <c r="J163" s="59" t="s">
        <v>47</v>
      </c>
      <c r="K163" s="59" t="s">
        <v>47</v>
      </c>
      <c r="L163" s="46" t="s">
        <v>862</v>
      </c>
      <c r="M163" s="46" t="s">
        <v>863</v>
      </c>
      <c r="N163" s="46">
        <v>1</v>
      </c>
      <c r="O163" s="46" t="s">
        <v>864</v>
      </c>
      <c r="P163" s="46" t="s">
        <v>865</v>
      </c>
      <c r="Q163" s="46">
        <v>55</v>
      </c>
      <c r="R163" s="46" t="s">
        <v>866</v>
      </c>
      <c r="S163" s="46" t="s">
        <v>867</v>
      </c>
      <c r="T163" s="46">
        <v>40</v>
      </c>
      <c r="U163" s="46"/>
      <c r="V163" s="46"/>
      <c r="W163" s="46"/>
    </row>
    <row r="164" spans="2:23" ht="114.75" hidden="1" x14ac:dyDescent="0.25">
      <c r="B164" s="59" t="s">
        <v>397</v>
      </c>
      <c r="C164" s="59" t="s">
        <v>717</v>
      </c>
      <c r="D164" s="59" t="s">
        <v>398</v>
      </c>
      <c r="E164" s="59" t="s">
        <v>398</v>
      </c>
      <c r="F164" s="59" t="s">
        <v>713</v>
      </c>
      <c r="G164" s="59" t="s">
        <v>544</v>
      </c>
      <c r="H164" s="59" t="s">
        <v>714</v>
      </c>
      <c r="I164" s="59" t="s">
        <v>460</v>
      </c>
      <c r="J164" s="59" t="s">
        <v>47</v>
      </c>
      <c r="K164" s="59" t="s">
        <v>47</v>
      </c>
      <c r="L164" s="46" t="s">
        <v>862</v>
      </c>
      <c r="M164" s="46" t="s">
        <v>863</v>
      </c>
      <c r="N164" s="46">
        <v>1</v>
      </c>
      <c r="O164" s="46" t="s">
        <v>864</v>
      </c>
      <c r="P164" s="46" t="s">
        <v>865</v>
      </c>
      <c r="Q164" s="46">
        <v>43</v>
      </c>
      <c r="R164" s="46" t="s">
        <v>866</v>
      </c>
      <c r="S164" s="46" t="s">
        <v>867</v>
      </c>
      <c r="T164" s="46">
        <v>28</v>
      </c>
      <c r="U164" s="46"/>
      <c r="V164" s="46"/>
      <c r="W164" s="46"/>
    </row>
    <row r="165" spans="2:23" ht="114.75" hidden="1" x14ac:dyDescent="0.25">
      <c r="B165" s="59" t="s">
        <v>399</v>
      </c>
      <c r="C165" s="59" t="s">
        <v>718</v>
      </c>
      <c r="D165" s="59" t="s">
        <v>400</v>
      </c>
      <c r="E165" s="59" t="s">
        <v>715</v>
      </c>
      <c r="F165" s="59" t="s">
        <v>713</v>
      </c>
      <c r="G165" s="59" t="s">
        <v>542</v>
      </c>
      <c r="H165" s="59" t="s">
        <v>714</v>
      </c>
      <c r="I165" s="59" t="s">
        <v>460</v>
      </c>
      <c r="J165" s="59" t="s">
        <v>47</v>
      </c>
      <c r="K165" s="59" t="s">
        <v>47</v>
      </c>
      <c r="L165" s="46" t="s">
        <v>862</v>
      </c>
      <c r="M165" s="46" t="s">
        <v>863</v>
      </c>
      <c r="N165" s="46">
        <v>1</v>
      </c>
      <c r="O165" s="46" t="s">
        <v>864</v>
      </c>
      <c r="P165" s="46" t="s">
        <v>865</v>
      </c>
      <c r="Q165" s="46">
        <v>18</v>
      </c>
      <c r="R165" s="46" t="s">
        <v>866</v>
      </c>
      <c r="S165" s="46" t="s">
        <v>867</v>
      </c>
      <c r="T165" s="46">
        <v>14</v>
      </c>
      <c r="U165" s="46"/>
      <c r="V165" s="46"/>
      <c r="W165" s="46"/>
    </row>
    <row r="166" spans="2:23" ht="114.75" hidden="1" x14ac:dyDescent="0.25">
      <c r="B166" s="59" t="s">
        <v>401</v>
      </c>
      <c r="C166" s="59" t="s">
        <v>719</v>
      </c>
      <c r="D166" s="59" t="s">
        <v>402</v>
      </c>
      <c r="E166" s="59" t="s">
        <v>506</v>
      </c>
      <c r="F166" s="59" t="s">
        <v>713</v>
      </c>
      <c r="G166" s="59" t="s">
        <v>684</v>
      </c>
      <c r="H166" s="59" t="s">
        <v>714</v>
      </c>
      <c r="I166" s="59" t="s">
        <v>460</v>
      </c>
      <c r="J166" s="59" t="s">
        <v>461</v>
      </c>
      <c r="K166" s="59" t="s">
        <v>47</v>
      </c>
      <c r="L166" s="46" t="s">
        <v>862</v>
      </c>
      <c r="M166" s="46" t="s">
        <v>863</v>
      </c>
      <c r="N166" s="46">
        <v>1</v>
      </c>
      <c r="O166" s="46" t="s">
        <v>864</v>
      </c>
      <c r="P166" s="46" t="s">
        <v>865</v>
      </c>
      <c r="Q166" s="46">
        <v>20</v>
      </c>
      <c r="R166" s="46" t="s">
        <v>866</v>
      </c>
      <c r="S166" s="46" t="s">
        <v>867</v>
      </c>
      <c r="T166" s="46">
        <v>16</v>
      </c>
      <c r="U166" s="46"/>
      <c r="V166" s="46"/>
      <c r="W166" s="46"/>
    </row>
    <row r="167" spans="2:23" ht="25.5" hidden="1" x14ac:dyDescent="0.25">
      <c r="B167" s="60" t="s">
        <v>403</v>
      </c>
      <c r="C167" s="60"/>
      <c r="D167" s="60" t="s">
        <v>404</v>
      </c>
      <c r="E167" s="60"/>
      <c r="F167" s="60"/>
      <c r="G167" s="60"/>
      <c r="H167" s="60"/>
      <c r="I167" s="60"/>
      <c r="J167" s="60"/>
      <c r="K167" s="60"/>
      <c r="L167" s="142"/>
      <c r="M167" s="142"/>
      <c r="N167" s="142"/>
      <c r="O167" s="142"/>
      <c r="P167" s="142"/>
      <c r="Q167" s="142"/>
      <c r="R167" s="142"/>
      <c r="S167" s="142"/>
      <c r="T167" s="142"/>
      <c r="U167" s="142"/>
      <c r="V167" s="142"/>
      <c r="W167" s="142"/>
    </row>
    <row r="168" spans="2:23" ht="102" hidden="1" x14ac:dyDescent="0.25">
      <c r="B168" s="59" t="s">
        <v>405</v>
      </c>
      <c r="C168" s="59" t="s">
        <v>724</v>
      </c>
      <c r="D168" s="59" t="s">
        <v>406</v>
      </c>
      <c r="E168" s="59" t="s">
        <v>503</v>
      </c>
      <c r="F168" s="59" t="s">
        <v>713</v>
      </c>
      <c r="G168" s="59" t="s">
        <v>504</v>
      </c>
      <c r="H168" s="59" t="s">
        <v>720</v>
      </c>
      <c r="I168" s="59" t="s">
        <v>460</v>
      </c>
      <c r="J168" s="59" t="s">
        <v>461</v>
      </c>
      <c r="K168" s="59" t="s">
        <v>47</v>
      </c>
      <c r="L168" s="46" t="s">
        <v>868</v>
      </c>
      <c r="M168" s="46" t="s">
        <v>869</v>
      </c>
      <c r="N168" s="46">
        <v>11</v>
      </c>
      <c r="O168" s="46"/>
      <c r="P168" s="46"/>
      <c r="Q168" s="46"/>
      <c r="R168" s="46"/>
      <c r="S168" s="46"/>
      <c r="T168" s="46"/>
      <c r="U168" s="46"/>
      <c r="V168" s="46"/>
      <c r="W168" s="46"/>
    </row>
    <row r="169" spans="2:23" ht="89.25" hidden="1" x14ac:dyDescent="0.25">
      <c r="B169" s="59" t="s">
        <v>407</v>
      </c>
      <c r="C169" s="59" t="s">
        <v>725</v>
      </c>
      <c r="D169" s="59" t="s">
        <v>721</v>
      </c>
      <c r="E169" s="59" t="s">
        <v>506</v>
      </c>
      <c r="F169" s="59" t="s">
        <v>713</v>
      </c>
      <c r="G169" s="59" t="s">
        <v>546</v>
      </c>
      <c r="H169" s="59" t="s">
        <v>720</v>
      </c>
      <c r="I169" s="59" t="s">
        <v>460</v>
      </c>
      <c r="J169" s="59" t="s">
        <v>461</v>
      </c>
      <c r="K169" s="59" t="s">
        <v>47</v>
      </c>
      <c r="L169" s="46" t="s">
        <v>868</v>
      </c>
      <c r="M169" s="46" t="s">
        <v>869</v>
      </c>
      <c r="N169" s="46">
        <v>20</v>
      </c>
      <c r="O169" s="46"/>
      <c r="P169" s="46"/>
      <c r="Q169" s="46"/>
      <c r="R169" s="46"/>
      <c r="S169" s="46"/>
      <c r="T169" s="46"/>
      <c r="U169" s="46"/>
      <c r="V169" s="46"/>
      <c r="W169" s="46"/>
    </row>
    <row r="170" spans="2:23" ht="76.5" hidden="1" x14ac:dyDescent="0.25">
      <c r="B170" s="59" t="s">
        <v>409</v>
      </c>
      <c r="C170" s="59" t="s">
        <v>726</v>
      </c>
      <c r="D170" s="59" t="s">
        <v>410</v>
      </c>
      <c r="E170" s="59" t="s">
        <v>456</v>
      </c>
      <c r="F170" s="59" t="s">
        <v>713</v>
      </c>
      <c r="G170" s="59" t="s">
        <v>463</v>
      </c>
      <c r="H170" s="59" t="s">
        <v>720</v>
      </c>
      <c r="I170" s="59" t="s">
        <v>460</v>
      </c>
      <c r="J170" s="59" t="s">
        <v>47</v>
      </c>
      <c r="K170" s="59" t="s">
        <v>47</v>
      </c>
      <c r="L170" s="46" t="s">
        <v>868</v>
      </c>
      <c r="M170" s="46" t="s">
        <v>869</v>
      </c>
      <c r="N170" s="46">
        <v>20</v>
      </c>
      <c r="O170" s="46"/>
      <c r="P170" s="46"/>
      <c r="Q170" s="46"/>
      <c r="R170" s="46"/>
      <c r="S170" s="46"/>
      <c r="T170" s="46"/>
      <c r="U170" s="46"/>
      <c r="V170" s="46"/>
      <c r="W170" s="46"/>
    </row>
    <row r="171" spans="2:23" ht="76.5" hidden="1" x14ac:dyDescent="0.25">
      <c r="B171" s="59" t="s">
        <v>411</v>
      </c>
      <c r="C171" s="59" t="s">
        <v>727</v>
      </c>
      <c r="D171" s="59" t="s">
        <v>412</v>
      </c>
      <c r="E171" s="59" t="s">
        <v>471</v>
      </c>
      <c r="F171" s="59" t="s">
        <v>713</v>
      </c>
      <c r="G171" s="59" t="s">
        <v>472</v>
      </c>
      <c r="H171" s="59" t="s">
        <v>720</v>
      </c>
      <c r="I171" s="59" t="s">
        <v>460</v>
      </c>
      <c r="J171" s="59" t="s">
        <v>47</v>
      </c>
      <c r="K171" s="59" t="s">
        <v>47</v>
      </c>
      <c r="L171" s="46" t="s">
        <v>868</v>
      </c>
      <c r="M171" s="46" t="s">
        <v>869</v>
      </c>
      <c r="N171" s="46">
        <v>12</v>
      </c>
      <c r="O171" s="46"/>
      <c r="P171" s="46"/>
      <c r="Q171" s="46"/>
      <c r="R171" s="46"/>
      <c r="S171" s="46"/>
      <c r="T171" s="46"/>
      <c r="U171" s="46"/>
      <c r="V171" s="46"/>
      <c r="W171" s="46"/>
    </row>
    <row r="172" spans="2:23" ht="76.5" hidden="1" x14ac:dyDescent="0.25">
      <c r="B172" s="59" t="s">
        <v>413</v>
      </c>
      <c r="C172" s="59" t="s">
        <v>728</v>
      </c>
      <c r="D172" s="59" t="s">
        <v>414</v>
      </c>
      <c r="E172" s="59" t="s">
        <v>541</v>
      </c>
      <c r="F172" s="59" t="s">
        <v>713</v>
      </c>
      <c r="G172" s="59" t="s">
        <v>542</v>
      </c>
      <c r="H172" s="59" t="s">
        <v>720</v>
      </c>
      <c r="I172" s="59" t="s">
        <v>460</v>
      </c>
      <c r="J172" s="59" t="s">
        <v>47</v>
      </c>
      <c r="K172" s="59" t="s">
        <v>47</v>
      </c>
      <c r="L172" s="46" t="s">
        <v>868</v>
      </c>
      <c r="M172" s="46" t="s">
        <v>869</v>
      </c>
      <c r="N172" s="46">
        <v>12</v>
      </c>
      <c r="O172" s="46"/>
      <c r="P172" s="46"/>
      <c r="Q172" s="46"/>
      <c r="R172" s="46"/>
      <c r="S172" s="46"/>
      <c r="T172" s="46"/>
      <c r="U172" s="46"/>
      <c r="V172" s="46"/>
      <c r="W172" s="46"/>
    </row>
    <row r="173" spans="2:23" ht="76.5" hidden="1" x14ac:dyDescent="0.25">
      <c r="B173" s="59" t="s">
        <v>415</v>
      </c>
      <c r="C173" s="59" t="s">
        <v>729</v>
      </c>
      <c r="D173" s="59" t="s">
        <v>416</v>
      </c>
      <c r="E173" s="59" t="s">
        <v>510</v>
      </c>
      <c r="F173" s="59" t="s">
        <v>713</v>
      </c>
      <c r="G173" s="59" t="s">
        <v>511</v>
      </c>
      <c r="H173" s="59" t="s">
        <v>720</v>
      </c>
      <c r="I173" s="59" t="s">
        <v>460</v>
      </c>
      <c r="J173" s="59" t="s">
        <v>47</v>
      </c>
      <c r="K173" s="59" t="s">
        <v>47</v>
      </c>
      <c r="L173" s="46" t="s">
        <v>868</v>
      </c>
      <c r="M173" s="46" t="s">
        <v>869</v>
      </c>
      <c r="N173" s="46">
        <v>20</v>
      </c>
      <c r="O173" s="46"/>
      <c r="P173" s="46"/>
      <c r="Q173" s="46"/>
      <c r="R173" s="46"/>
      <c r="S173" s="46"/>
      <c r="T173" s="46"/>
      <c r="U173" s="46"/>
      <c r="V173" s="46"/>
      <c r="W173" s="46"/>
    </row>
    <row r="174" spans="2:23" ht="38.25" hidden="1" x14ac:dyDescent="0.25">
      <c r="B174" s="117" t="s">
        <v>417</v>
      </c>
      <c r="C174" s="37"/>
      <c r="D174" s="37" t="s">
        <v>418</v>
      </c>
      <c r="E174" s="117"/>
      <c r="F174" s="117"/>
      <c r="G174" s="117"/>
      <c r="H174" s="37"/>
      <c r="I174" s="37"/>
      <c r="J174" s="117"/>
      <c r="K174" s="117"/>
      <c r="L174" s="141"/>
      <c r="M174" s="140"/>
      <c r="N174" s="140"/>
      <c r="O174" s="141"/>
      <c r="P174" s="141"/>
      <c r="Q174" s="141"/>
      <c r="R174" s="140"/>
      <c r="S174" s="140"/>
      <c r="T174" s="141"/>
      <c r="U174" s="141"/>
      <c r="V174" s="141"/>
      <c r="W174" s="140"/>
    </row>
    <row r="175" spans="2:23" ht="63.75" hidden="1" x14ac:dyDescent="0.25">
      <c r="B175" s="60" t="s">
        <v>419</v>
      </c>
      <c r="C175" s="60"/>
      <c r="D175" s="60" t="s">
        <v>420</v>
      </c>
      <c r="E175" s="60"/>
      <c r="F175" s="60"/>
      <c r="G175" s="60"/>
      <c r="H175" s="60"/>
      <c r="I175" s="60"/>
      <c r="J175" s="60"/>
      <c r="K175" s="60"/>
      <c r="L175" s="142"/>
      <c r="M175" s="142"/>
      <c r="N175" s="142"/>
      <c r="O175" s="142"/>
      <c r="P175" s="142"/>
      <c r="Q175" s="142"/>
      <c r="R175" s="142"/>
      <c r="S175" s="142"/>
      <c r="T175" s="142"/>
      <c r="U175" s="142"/>
      <c r="V175" s="142"/>
      <c r="W175" s="142"/>
    </row>
    <row r="176" spans="2:23" ht="89.25" hidden="1" customHeight="1" x14ac:dyDescent="0.25">
      <c r="B176" s="59" t="s">
        <v>421</v>
      </c>
      <c r="C176" s="59" t="s">
        <v>741</v>
      </c>
      <c r="D176" s="46" t="s">
        <v>422</v>
      </c>
      <c r="E176" s="46" t="s">
        <v>503</v>
      </c>
      <c r="F176" s="46" t="s">
        <v>582</v>
      </c>
      <c r="G176" s="46" t="s">
        <v>504</v>
      </c>
      <c r="H176" s="46" t="s">
        <v>730</v>
      </c>
      <c r="I176" s="46" t="s">
        <v>460</v>
      </c>
      <c r="J176" s="46" t="s">
        <v>461</v>
      </c>
      <c r="K176" s="46" t="s">
        <v>47</v>
      </c>
      <c r="L176" s="46" t="s">
        <v>870</v>
      </c>
      <c r="M176" s="46" t="s">
        <v>871</v>
      </c>
      <c r="N176" s="46">
        <v>1</v>
      </c>
      <c r="O176" s="46"/>
      <c r="P176" s="46"/>
      <c r="Q176" s="46"/>
      <c r="R176" s="46"/>
      <c r="S176" s="46"/>
      <c r="T176" s="46"/>
      <c r="U176" s="46"/>
      <c r="V176" s="46"/>
      <c r="W176" s="46"/>
    </row>
    <row r="177" spans="2:23" ht="99.75" hidden="1" customHeight="1" x14ac:dyDescent="0.25">
      <c r="B177" s="59" t="s">
        <v>739</v>
      </c>
      <c r="C177" s="59" t="s">
        <v>742</v>
      </c>
      <c r="D177" s="46" t="s">
        <v>731</v>
      </c>
      <c r="E177" s="46" t="s">
        <v>732</v>
      </c>
      <c r="F177" s="46" t="s">
        <v>582</v>
      </c>
      <c r="G177" s="46" t="s">
        <v>542</v>
      </c>
      <c r="H177" s="46" t="s">
        <v>730</v>
      </c>
      <c r="I177" s="46" t="s">
        <v>460</v>
      </c>
      <c r="J177" s="46" t="s">
        <v>461</v>
      </c>
      <c r="K177" s="46" t="s">
        <v>47</v>
      </c>
      <c r="L177" s="46" t="s">
        <v>870</v>
      </c>
      <c r="M177" s="46" t="s">
        <v>871</v>
      </c>
      <c r="N177" s="46">
        <v>1</v>
      </c>
      <c r="O177" s="46"/>
      <c r="P177" s="46"/>
      <c r="Q177" s="46"/>
      <c r="R177" s="46"/>
      <c r="S177" s="46"/>
      <c r="T177" s="46"/>
      <c r="U177" s="46"/>
      <c r="V177" s="46"/>
      <c r="W177" s="46"/>
    </row>
    <row r="178" spans="2:23" ht="89.25" hidden="1" x14ac:dyDescent="0.25">
      <c r="B178" s="59" t="s">
        <v>425</v>
      </c>
      <c r="C178" s="59" t="s">
        <v>743</v>
      </c>
      <c r="D178" s="46" t="s">
        <v>426</v>
      </c>
      <c r="E178" s="46" t="s">
        <v>471</v>
      </c>
      <c r="F178" s="46" t="s">
        <v>582</v>
      </c>
      <c r="G178" s="46" t="s">
        <v>472</v>
      </c>
      <c r="H178" s="46" t="s">
        <v>730</v>
      </c>
      <c r="I178" s="46" t="s">
        <v>460</v>
      </c>
      <c r="J178" s="46" t="s">
        <v>461</v>
      </c>
      <c r="K178" s="46" t="s">
        <v>47</v>
      </c>
      <c r="L178" s="46" t="s">
        <v>870</v>
      </c>
      <c r="M178" s="46" t="s">
        <v>871</v>
      </c>
      <c r="N178" s="46">
        <v>1</v>
      </c>
      <c r="O178" s="46"/>
      <c r="P178" s="46"/>
      <c r="Q178" s="46"/>
      <c r="R178" s="46"/>
      <c r="S178" s="46"/>
      <c r="T178" s="46"/>
      <c r="U178" s="46"/>
      <c r="V178" s="46"/>
      <c r="W178" s="46"/>
    </row>
    <row r="179" spans="2:23" ht="125.25" hidden="1" customHeight="1" x14ac:dyDescent="0.25">
      <c r="B179" s="59" t="s">
        <v>427</v>
      </c>
      <c r="C179" s="59" t="s">
        <v>744</v>
      </c>
      <c r="D179" s="46" t="s">
        <v>428</v>
      </c>
      <c r="E179" s="46" t="s">
        <v>734</v>
      </c>
      <c r="F179" s="46" t="s">
        <v>582</v>
      </c>
      <c r="G179" s="46" t="s">
        <v>546</v>
      </c>
      <c r="H179" s="46" t="s">
        <v>730</v>
      </c>
      <c r="I179" s="46" t="s">
        <v>460</v>
      </c>
      <c r="J179" s="46" t="s">
        <v>461</v>
      </c>
      <c r="K179" s="46" t="s">
        <v>47</v>
      </c>
      <c r="L179" s="46" t="s">
        <v>870</v>
      </c>
      <c r="M179" s="46" t="s">
        <v>871</v>
      </c>
      <c r="N179" s="46">
        <v>1</v>
      </c>
      <c r="O179" s="46"/>
      <c r="P179" s="46"/>
      <c r="Q179" s="46"/>
      <c r="R179" s="46"/>
      <c r="S179" s="46"/>
      <c r="T179" s="46"/>
      <c r="U179" s="46"/>
      <c r="V179" s="46"/>
      <c r="W179" s="46"/>
    </row>
    <row r="180" spans="2:23" ht="63.75" hidden="1" x14ac:dyDescent="0.25">
      <c r="B180" s="59" t="s">
        <v>740</v>
      </c>
      <c r="C180" s="59" t="s">
        <v>745</v>
      </c>
      <c r="D180" s="46" t="s">
        <v>430</v>
      </c>
      <c r="E180" s="46" t="s">
        <v>735</v>
      </c>
      <c r="F180" s="46" t="s">
        <v>582</v>
      </c>
      <c r="G180" s="46" t="s">
        <v>736</v>
      </c>
      <c r="H180" s="46" t="s">
        <v>730</v>
      </c>
      <c r="I180" s="46" t="s">
        <v>460</v>
      </c>
      <c r="J180" s="46" t="s">
        <v>461</v>
      </c>
      <c r="K180" s="46" t="s">
        <v>47</v>
      </c>
      <c r="L180" s="46" t="s">
        <v>870</v>
      </c>
      <c r="M180" s="46" t="s">
        <v>871</v>
      </c>
      <c r="N180" s="46">
        <v>1</v>
      </c>
      <c r="O180" s="46"/>
      <c r="P180" s="46"/>
      <c r="Q180" s="46"/>
      <c r="R180" s="46"/>
      <c r="S180" s="46"/>
      <c r="T180" s="46"/>
      <c r="U180" s="46"/>
      <c r="V180" s="46"/>
      <c r="W180" s="46"/>
    </row>
    <row r="181" spans="2:23" ht="51" hidden="1" x14ac:dyDescent="0.25">
      <c r="B181" s="59" t="s">
        <v>431</v>
      </c>
      <c r="C181" s="59" t="s">
        <v>746</v>
      </c>
      <c r="D181" s="46" t="s">
        <v>432</v>
      </c>
      <c r="E181" s="46" t="s">
        <v>737</v>
      </c>
      <c r="F181" s="46" t="s">
        <v>582</v>
      </c>
      <c r="G181" s="46" t="s">
        <v>511</v>
      </c>
      <c r="H181" s="46" t="s">
        <v>738</v>
      </c>
      <c r="I181" s="46" t="s">
        <v>460</v>
      </c>
      <c r="J181" s="46" t="s">
        <v>461</v>
      </c>
      <c r="K181" s="46" t="s">
        <v>47</v>
      </c>
      <c r="L181" s="46" t="s">
        <v>870</v>
      </c>
      <c r="M181" s="46" t="s">
        <v>871</v>
      </c>
      <c r="N181" s="46">
        <v>1</v>
      </c>
      <c r="O181" s="46"/>
      <c r="P181" s="46"/>
      <c r="Q181" s="46"/>
      <c r="R181" s="46"/>
      <c r="S181" s="46"/>
      <c r="T181" s="46"/>
      <c r="U181" s="46"/>
      <c r="V181" s="46"/>
      <c r="W181" s="46"/>
    </row>
    <row r="182" spans="2:23" ht="25.5" hidden="1" x14ac:dyDescent="0.25">
      <c r="B182" s="117" t="s">
        <v>433</v>
      </c>
      <c r="C182" s="37"/>
      <c r="D182" s="37" t="s">
        <v>434</v>
      </c>
      <c r="E182" s="117"/>
      <c r="F182" s="117"/>
      <c r="G182" s="37"/>
      <c r="H182" s="37"/>
      <c r="I182" s="117"/>
      <c r="J182" s="117"/>
      <c r="K182" s="37"/>
      <c r="L182" s="140"/>
      <c r="M182" s="141"/>
      <c r="N182" s="141"/>
      <c r="O182" s="140"/>
      <c r="P182" s="140"/>
      <c r="Q182" s="141"/>
      <c r="R182" s="141"/>
      <c r="S182" s="140"/>
      <c r="T182" s="140"/>
      <c r="U182" s="141"/>
      <c r="V182" s="141"/>
      <c r="W182" s="140"/>
    </row>
    <row r="183" spans="2:23" ht="63.75" hidden="1" x14ac:dyDescent="0.25">
      <c r="B183" s="60" t="s">
        <v>435</v>
      </c>
      <c r="C183" s="60"/>
      <c r="D183" s="60" t="s">
        <v>436</v>
      </c>
      <c r="E183" s="60"/>
      <c r="F183" s="60"/>
      <c r="G183" s="60"/>
      <c r="H183" s="60"/>
      <c r="I183" s="60"/>
      <c r="J183" s="60"/>
      <c r="K183" s="60"/>
      <c r="L183" s="142"/>
      <c r="M183" s="142"/>
      <c r="N183" s="142"/>
      <c r="O183" s="142"/>
      <c r="P183" s="142"/>
      <c r="Q183" s="142"/>
      <c r="R183" s="142"/>
      <c r="S183" s="142"/>
      <c r="T183" s="142"/>
      <c r="U183" s="142"/>
      <c r="V183" s="142"/>
      <c r="W183" s="142"/>
    </row>
    <row r="184" spans="2:23" ht="242.25" hidden="1" x14ac:dyDescent="0.25">
      <c r="B184" s="59" t="s">
        <v>437</v>
      </c>
      <c r="C184" s="59" t="s">
        <v>760</v>
      </c>
      <c r="D184" s="59" t="s">
        <v>438</v>
      </c>
      <c r="E184" s="59" t="s">
        <v>506</v>
      </c>
      <c r="F184" s="59" t="s">
        <v>457</v>
      </c>
      <c r="G184" s="59" t="s">
        <v>747</v>
      </c>
      <c r="H184" s="59" t="s">
        <v>748</v>
      </c>
      <c r="I184" s="59" t="s">
        <v>460</v>
      </c>
      <c r="J184" s="59" t="s">
        <v>47</v>
      </c>
      <c r="K184" s="59" t="s">
        <v>47</v>
      </c>
      <c r="L184" s="46" t="s">
        <v>872</v>
      </c>
      <c r="M184" s="46" t="s">
        <v>873</v>
      </c>
      <c r="N184" s="46">
        <v>14</v>
      </c>
      <c r="O184" s="46" t="s">
        <v>874</v>
      </c>
      <c r="P184" s="46" t="s">
        <v>875</v>
      </c>
      <c r="Q184" s="46">
        <v>15</v>
      </c>
      <c r="R184" s="46" t="s">
        <v>876</v>
      </c>
      <c r="S184" s="46" t="s">
        <v>877</v>
      </c>
      <c r="T184" s="46">
        <v>1</v>
      </c>
      <c r="U184" s="46"/>
      <c r="V184" s="46"/>
      <c r="W184" s="46"/>
    </row>
    <row r="185" spans="2:23" ht="242.25" hidden="1" x14ac:dyDescent="0.25">
      <c r="B185" s="59" t="s">
        <v>439</v>
      </c>
      <c r="C185" s="59" t="s">
        <v>761</v>
      </c>
      <c r="D185" s="46" t="s">
        <v>440</v>
      </c>
      <c r="E185" s="46" t="s">
        <v>471</v>
      </c>
      <c r="F185" s="46" t="s">
        <v>457</v>
      </c>
      <c r="G185" s="46" t="s">
        <v>472</v>
      </c>
      <c r="H185" s="46" t="s">
        <v>748</v>
      </c>
      <c r="I185" s="46" t="s">
        <v>460</v>
      </c>
      <c r="J185" s="46" t="s">
        <v>47</v>
      </c>
      <c r="K185" s="46" t="s">
        <v>47</v>
      </c>
      <c r="L185" s="46" t="s">
        <v>872</v>
      </c>
      <c r="M185" s="46" t="s">
        <v>873</v>
      </c>
      <c r="N185" s="46">
        <v>1</v>
      </c>
      <c r="O185" s="46" t="s">
        <v>874</v>
      </c>
      <c r="P185" s="46" t="s">
        <v>875</v>
      </c>
      <c r="Q185" s="46">
        <v>15</v>
      </c>
      <c r="R185" s="46" t="s">
        <v>876</v>
      </c>
      <c r="S185" s="46" t="s">
        <v>877</v>
      </c>
      <c r="T185" s="46">
        <v>1</v>
      </c>
      <c r="U185" s="46"/>
      <c r="V185" s="46"/>
      <c r="W185" s="46"/>
    </row>
    <row r="186" spans="2:23" ht="242.25" hidden="1" x14ac:dyDescent="0.25">
      <c r="B186" s="59" t="s">
        <v>757</v>
      </c>
      <c r="C186" s="59" t="s">
        <v>762</v>
      </c>
      <c r="D186" s="46" t="s">
        <v>442</v>
      </c>
      <c r="E186" s="46" t="s">
        <v>541</v>
      </c>
      <c r="F186" s="46" t="s">
        <v>457</v>
      </c>
      <c r="G186" s="46" t="s">
        <v>542</v>
      </c>
      <c r="H186" s="46" t="s">
        <v>748</v>
      </c>
      <c r="I186" s="46" t="s">
        <v>460</v>
      </c>
      <c r="J186" s="46" t="s">
        <v>47</v>
      </c>
      <c r="K186" s="46" t="s">
        <v>47</v>
      </c>
      <c r="L186" s="46" t="s">
        <v>872</v>
      </c>
      <c r="M186" s="46" t="s">
        <v>873</v>
      </c>
      <c r="N186" s="46">
        <v>13</v>
      </c>
      <c r="O186" s="46" t="s">
        <v>874</v>
      </c>
      <c r="P186" s="46" t="s">
        <v>875</v>
      </c>
      <c r="Q186" s="46">
        <v>25</v>
      </c>
      <c r="R186" s="46" t="s">
        <v>876</v>
      </c>
      <c r="S186" s="46" t="s">
        <v>877</v>
      </c>
      <c r="T186" s="46">
        <v>1</v>
      </c>
      <c r="U186" s="46"/>
      <c r="V186" s="46"/>
      <c r="W186" s="46"/>
    </row>
    <row r="187" spans="2:23" ht="242.25" hidden="1" x14ac:dyDescent="0.25">
      <c r="B187" s="59" t="s">
        <v>443</v>
      </c>
      <c r="C187" s="59" t="s">
        <v>763</v>
      </c>
      <c r="D187" s="46" t="s">
        <v>444</v>
      </c>
      <c r="E187" s="46" t="s">
        <v>749</v>
      </c>
      <c r="F187" s="46" t="s">
        <v>457</v>
      </c>
      <c r="G187" s="46" t="s">
        <v>511</v>
      </c>
      <c r="H187" s="46" t="s">
        <v>750</v>
      </c>
      <c r="I187" s="46" t="s">
        <v>460</v>
      </c>
      <c r="J187" s="46" t="s">
        <v>47</v>
      </c>
      <c r="K187" s="46" t="s">
        <v>47</v>
      </c>
      <c r="L187" s="46" t="s">
        <v>872</v>
      </c>
      <c r="M187" s="46" t="s">
        <v>873</v>
      </c>
      <c r="N187" s="46">
        <v>3</v>
      </c>
      <c r="O187" s="46" t="s">
        <v>874</v>
      </c>
      <c r="P187" s="46" t="s">
        <v>878</v>
      </c>
      <c r="Q187" s="46">
        <v>15</v>
      </c>
      <c r="R187" s="46" t="s">
        <v>292</v>
      </c>
      <c r="S187" s="46"/>
      <c r="T187" s="46"/>
      <c r="U187" s="46"/>
      <c r="V187" s="46"/>
      <c r="W187" s="46"/>
    </row>
    <row r="188" spans="2:23" ht="242.25" hidden="1" x14ac:dyDescent="0.25">
      <c r="B188" s="59" t="s">
        <v>758</v>
      </c>
      <c r="C188" s="59" t="s">
        <v>764</v>
      </c>
      <c r="D188" s="46" t="s">
        <v>446</v>
      </c>
      <c r="E188" s="46" t="s">
        <v>456</v>
      </c>
      <c r="F188" s="46" t="s">
        <v>457</v>
      </c>
      <c r="G188" s="46" t="s">
        <v>751</v>
      </c>
      <c r="H188" s="46" t="s">
        <v>750</v>
      </c>
      <c r="I188" s="46" t="s">
        <v>460</v>
      </c>
      <c r="J188" s="46" t="s">
        <v>47</v>
      </c>
      <c r="K188" s="46" t="s">
        <v>47</v>
      </c>
      <c r="L188" s="46" t="s">
        <v>872</v>
      </c>
      <c r="M188" s="46" t="s">
        <v>873</v>
      </c>
      <c r="N188" s="46">
        <v>2</v>
      </c>
      <c r="O188" s="46" t="s">
        <v>874</v>
      </c>
      <c r="P188" s="46" t="s">
        <v>878</v>
      </c>
      <c r="Q188" s="46">
        <v>20</v>
      </c>
      <c r="R188" s="46" t="s">
        <v>876</v>
      </c>
      <c r="S188" s="46" t="s">
        <v>877</v>
      </c>
      <c r="T188" s="46">
        <v>1</v>
      </c>
      <c r="U188" s="46"/>
      <c r="V188" s="46"/>
      <c r="W188" s="46"/>
    </row>
    <row r="189" spans="2:23" s="98" customFormat="1" ht="242.25" hidden="1" x14ac:dyDescent="0.25">
      <c r="B189" s="54" t="s">
        <v>759</v>
      </c>
      <c r="C189" s="54" t="s">
        <v>765</v>
      </c>
      <c r="D189" s="89" t="s">
        <v>448</v>
      </c>
      <c r="E189" s="89" t="s">
        <v>503</v>
      </c>
      <c r="F189" s="89" t="s">
        <v>457</v>
      </c>
      <c r="G189" s="89" t="s">
        <v>534</v>
      </c>
      <c r="H189" s="89" t="s">
        <v>750</v>
      </c>
      <c r="I189" s="89" t="s">
        <v>460</v>
      </c>
      <c r="J189" s="89" t="s">
        <v>47</v>
      </c>
      <c r="K189" s="89" t="s">
        <v>47</v>
      </c>
      <c r="L189" s="89" t="s">
        <v>872</v>
      </c>
      <c r="M189" s="89" t="s">
        <v>873</v>
      </c>
      <c r="N189" s="89">
        <v>2</v>
      </c>
      <c r="O189" s="89" t="s">
        <v>874</v>
      </c>
      <c r="P189" s="89" t="s">
        <v>878</v>
      </c>
      <c r="Q189" s="89">
        <v>20</v>
      </c>
      <c r="R189" s="89" t="s">
        <v>876</v>
      </c>
      <c r="S189" s="89" t="s">
        <v>877</v>
      </c>
      <c r="T189" s="89">
        <v>1</v>
      </c>
      <c r="U189" s="89"/>
      <c r="V189" s="89"/>
      <c r="W189" s="89"/>
    </row>
    <row r="190" spans="2:23" ht="242.25" hidden="1" x14ac:dyDescent="0.25">
      <c r="B190" s="59" t="s">
        <v>449</v>
      </c>
      <c r="C190" s="59" t="s">
        <v>766</v>
      </c>
      <c r="D190" s="46" t="s">
        <v>450</v>
      </c>
      <c r="E190" s="46" t="s">
        <v>749</v>
      </c>
      <c r="F190" s="46" t="s">
        <v>457</v>
      </c>
      <c r="G190" s="46" t="s">
        <v>511</v>
      </c>
      <c r="H190" s="46" t="s">
        <v>750</v>
      </c>
      <c r="I190" s="46" t="s">
        <v>460</v>
      </c>
      <c r="J190" s="46" t="s">
        <v>47</v>
      </c>
      <c r="K190" s="46" t="s">
        <v>47</v>
      </c>
      <c r="L190" s="46" t="s">
        <v>872</v>
      </c>
      <c r="M190" s="46" t="s">
        <v>873</v>
      </c>
      <c r="N190" s="46">
        <v>3</v>
      </c>
      <c r="O190" s="46" t="s">
        <v>874</v>
      </c>
      <c r="P190" s="46" t="s">
        <v>878</v>
      </c>
      <c r="Q190" s="46">
        <v>15</v>
      </c>
      <c r="R190" s="46" t="s">
        <v>292</v>
      </c>
      <c r="S190" s="46"/>
      <c r="T190" s="46"/>
      <c r="U190" s="46"/>
      <c r="V190" s="46"/>
      <c r="W190" s="46"/>
    </row>
    <row r="191" spans="2:23" ht="15.75" hidden="1" x14ac:dyDescent="0.25">
      <c r="B191" s="152" t="s">
        <v>69</v>
      </c>
    </row>
    <row r="192" spans="2:23" ht="27.75" customHeight="1" x14ac:dyDescent="0.25">
      <c r="B192" s="169"/>
      <c r="C192" s="169"/>
      <c r="D192" s="169"/>
      <c r="E192" s="169"/>
      <c r="F192" s="169"/>
      <c r="G192" s="169"/>
      <c r="H192" s="169"/>
      <c r="I192" s="169"/>
      <c r="J192" s="169"/>
      <c r="K192" s="169"/>
      <c r="L192" s="169"/>
      <c r="M192" s="169"/>
      <c r="N192" s="169"/>
      <c r="O192" s="169"/>
      <c r="P192" s="169"/>
      <c r="Q192" s="169"/>
      <c r="R192" s="169"/>
      <c r="S192" s="169"/>
      <c r="T192" s="169"/>
      <c r="U192" s="169"/>
      <c r="V192" s="169"/>
    </row>
  </sheetData>
  <autoFilter ref="B5:Z191"/>
  <mergeCells count="28">
    <mergeCell ref="R7:R8"/>
    <mergeCell ref="T7:T8"/>
    <mergeCell ref="U7:U8"/>
    <mergeCell ref="W7:W8"/>
    <mergeCell ref="C7:C8"/>
    <mergeCell ref="D7:D8"/>
    <mergeCell ref="E7:E8"/>
    <mergeCell ref="F7:F8"/>
    <mergeCell ref="Q7:Q8"/>
    <mergeCell ref="G7:G8"/>
    <mergeCell ref="H7:H8"/>
    <mergeCell ref="I7:I8"/>
    <mergeCell ref="B192:V192"/>
    <mergeCell ref="T1:W1"/>
    <mergeCell ref="T2:W2"/>
    <mergeCell ref="T3:W3"/>
    <mergeCell ref="J7:J8"/>
    <mergeCell ref="K7:K8"/>
    <mergeCell ref="L7:L8"/>
    <mergeCell ref="M7:M8"/>
    <mergeCell ref="N7:N8"/>
    <mergeCell ref="O7:O8"/>
    <mergeCell ref="B6:K6"/>
    <mergeCell ref="L6:W6"/>
    <mergeCell ref="B7:B8"/>
    <mergeCell ref="V7:V8"/>
    <mergeCell ref="S7:S8"/>
    <mergeCell ref="P7:P8"/>
  </mergeCells>
  <pageMargins left="0.7" right="0.7" top="0.75" bottom="0.75" header="0.3" footer="0.3"/>
  <pageSetup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workbookViewId="0">
      <selection activeCell="D8" sqref="D8:D39"/>
    </sheetView>
  </sheetViews>
  <sheetFormatPr defaultRowHeight="15" x14ac:dyDescent="0.25"/>
  <cols>
    <col min="1" max="1" width="4.140625" style="5" customWidth="1"/>
    <col min="3" max="3" width="56" customWidth="1"/>
    <col min="4" max="4" width="49.5703125" customWidth="1"/>
  </cols>
  <sheetData>
    <row r="1" spans="2:7" s="5" customFormat="1" ht="15.75" x14ac:dyDescent="0.25">
      <c r="D1" s="161" t="s">
        <v>140</v>
      </c>
      <c r="E1" s="161"/>
      <c r="F1" s="161"/>
      <c r="G1" s="161"/>
    </row>
    <row r="2" spans="2:7" s="5" customFormat="1" ht="18" customHeight="1" x14ac:dyDescent="0.25">
      <c r="D2" s="162" t="s">
        <v>24</v>
      </c>
      <c r="E2" s="162"/>
      <c r="F2" s="162"/>
      <c r="G2" s="162"/>
    </row>
    <row r="3" spans="2:7" s="5" customFormat="1" ht="15.75" x14ac:dyDescent="0.25">
      <c r="D3" s="162" t="s">
        <v>25</v>
      </c>
      <c r="E3" s="162"/>
      <c r="F3" s="162"/>
      <c r="G3" s="162"/>
    </row>
    <row r="4" spans="2:7" s="5" customFormat="1" x14ac:dyDescent="0.25"/>
    <row r="5" spans="2:7" ht="15.75" x14ac:dyDescent="0.25">
      <c r="B5" s="6" t="s">
        <v>70</v>
      </c>
      <c r="C5" s="5"/>
      <c r="D5" s="5"/>
    </row>
    <row r="6" spans="2:7" ht="15" customHeight="1" x14ac:dyDescent="0.25">
      <c r="B6" s="23" t="s">
        <v>71</v>
      </c>
      <c r="C6" s="23" t="s">
        <v>138</v>
      </c>
      <c r="D6" s="23" t="s">
        <v>139</v>
      </c>
    </row>
    <row r="7" spans="2:7" ht="47.25" hidden="1" x14ac:dyDescent="0.25">
      <c r="B7" s="34" t="s">
        <v>800</v>
      </c>
      <c r="C7" s="34" t="s">
        <v>803</v>
      </c>
      <c r="D7" s="52">
        <f>'3 lentelė'!AE15</f>
        <v>3870</v>
      </c>
      <c r="F7" s="45"/>
    </row>
    <row r="8" spans="2:7" ht="15.75" x14ac:dyDescent="0.25">
      <c r="B8" s="57" t="s">
        <v>783</v>
      </c>
      <c r="C8" s="34" t="s">
        <v>784</v>
      </c>
      <c r="D8" s="153">
        <f>'3 lentelė'!AE16</f>
        <v>6.7720000000000002</v>
      </c>
      <c r="E8" s="87"/>
      <c r="F8" s="45"/>
    </row>
    <row r="9" spans="2:7" ht="31.5" hidden="1" x14ac:dyDescent="0.25">
      <c r="B9" s="57" t="s">
        <v>845</v>
      </c>
      <c r="C9" s="34" t="s">
        <v>846</v>
      </c>
      <c r="D9" s="52">
        <f>'3 lentelė'!AE14</f>
        <v>2311</v>
      </c>
      <c r="E9" s="87"/>
      <c r="F9" s="45"/>
    </row>
    <row r="10" spans="2:7" s="87" customFormat="1" ht="15.75" hidden="1" x14ac:dyDescent="0.25">
      <c r="B10" s="105" t="s">
        <v>767</v>
      </c>
      <c r="C10" s="105" t="s">
        <v>909</v>
      </c>
      <c r="D10" s="107">
        <f>'3 lentelė'!AE13</f>
        <v>847838.6</v>
      </c>
      <c r="F10" s="95"/>
    </row>
    <row r="11" spans="2:7" s="87" customFormat="1" ht="31.5" hidden="1" x14ac:dyDescent="0.25">
      <c r="B11" s="105" t="s">
        <v>769</v>
      </c>
      <c r="C11" s="105" t="s">
        <v>910</v>
      </c>
      <c r="D11" s="107">
        <f>'3 lentelė'!AE18</f>
        <v>2140</v>
      </c>
      <c r="F11" s="95"/>
    </row>
    <row r="12" spans="2:7" s="87" customFormat="1" ht="31.5" hidden="1" x14ac:dyDescent="0.25">
      <c r="B12" s="105" t="s">
        <v>821</v>
      </c>
      <c r="C12" s="105" t="s">
        <v>822</v>
      </c>
      <c r="D12" s="107">
        <f>'3 lentelė'!AE19</f>
        <v>20.25</v>
      </c>
      <c r="F12" s="95"/>
    </row>
    <row r="13" spans="2:7" s="87" customFormat="1" ht="31.5" x14ac:dyDescent="0.25">
      <c r="B13" s="105" t="s">
        <v>808</v>
      </c>
      <c r="C13" s="105" t="s">
        <v>817</v>
      </c>
      <c r="D13" s="107">
        <f>'3 lentelė'!AE20</f>
        <v>1531</v>
      </c>
      <c r="F13" s="95"/>
    </row>
    <row r="14" spans="2:7" s="87" customFormat="1" ht="47.25" hidden="1" x14ac:dyDescent="0.25">
      <c r="B14" s="105" t="s">
        <v>810</v>
      </c>
      <c r="C14" s="105" t="s">
        <v>911</v>
      </c>
      <c r="D14" s="107">
        <f>'3 lentelė'!AE21</f>
        <v>1185</v>
      </c>
      <c r="F14" s="95"/>
    </row>
    <row r="15" spans="2:7" s="87" customFormat="1" ht="31.5" x14ac:dyDescent="0.25">
      <c r="B15" s="105" t="s">
        <v>812</v>
      </c>
      <c r="C15" s="105" t="s">
        <v>912</v>
      </c>
      <c r="D15" s="107">
        <f>'3 lentelė'!AE22</f>
        <v>2143</v>
      </c>
      <c r="F15" s="95"/>
    </row>
    <row r="16" spans="2:7" s="87" customFormat="1" ht="47.25" hidden="1" x14ac:dyDescent="0.25">
      <c r="B16" s="105" t="s">
        <v>814</v>
      </c>
      <c r="C16" s="105" t="s">
        <v>816</v>
      </c>
      <c r="D16" s="107">
        <f>'3 lentelė'!AE23</f>
        <v>828</v>
      </c>
      <c r="F16" s="95"/>
    </row>
    <row r="17" spans="2:6" s="87" customFormat="1" ht="47.25" hidden="1" x14ac:dyDescent="0.25">
      <c r="B17" s="105" t="s">
        <v>829</v>
      </c>
      <c r="C17" s="105" t="s">
        <v>913</v>
      </c>
      <c r="D17" s="107">
        <f>'3 lentelė'!AE24</f>
        <v>5</v>
      </c>
      <c r="F17" s="95"/>
    </row>
    <row r="18" spans="2:6" s="87" customFormat="1" ht="31.5" hidden="1" x14ac:dyDescent="0.25">
      <c r="B18" s="105" t="s">
        <v>831</v>
      </c>
      <c r="C18" s="105" t="s">
        <v>832</v>
      </c>
      <c r="D18" s="107">
        <f>'3 lentelė'!AE25</f>
        <v>170</v>
      </c>
      <c r="F18" s="95"/>
    </row>
    <row r="19" spans="2:6" s="87" customFormat="1" ht="15.75" hidden="1" customHeight="1" x14ac:dyDescent="0.25">
      <c r="B19" s="105" t="s">
        <v>870</v>
      </c>
      <c r="C19" s="105" t="s">
        <v>914</v>
      </c>
      <c r="D19" s="107">
        <f>'3 lentelė'!AE26</f>
        <v>6</v>
      </c>
      <c r="F19" s="95"/>
    </row>
    <row r="20" spans="2:6" s="87" customFormat="1" ht="31.5" hidden="1" customHeight="1" x14ac:dyDescent="0.25">
      <c r="B20" s="105" t="s">
        <v>864</v>
      </c>
      <c r="C20" s="105" t="s">
        <v>865</v>
      </c>
      <c r="D20" s="107">
        <f>'3 lentelė'!AE27</f>
        <v>136</v>
      </c>
      <c r="F20" s="95"/>
    </row>
    <row r="21" spans="2:6" s="87" customFormat="1" ht="15.75" hidden="1" customHeight="1" x14ac:dyDescent="0.25">
      <c r="B21" s="105" t="s">
        <v>794</v>
      </c>
      <c r="C21" s="105" t="s">
        <v>915</v>
      </c>
      <c r="D21" s="107">
        <f>'3 lentelė'!AE28</f>
        <v>2</v>
      </c>
      <c r="F21" s="95"/>
    </row>
    <row r="22" spans="2:6" s="87" customFormat="1" ht="15.75" customHeight="1" x14ac:dyDescent="0.25">
      <c r="B22" s="105" t="s">
        <v>778</v>
      </c>
      <c r="C22" s="105" t="s">
        <v>916</v>
      </c>
      <c r="D22" s="154">
        <f>'3 lentelė'!AE29</f>
        <v>0.58599999999999997</v>
      </c>
      <c r="F22" s="95"/>
    </row>
    <row r="23" spans="2:6" s="87" customFormat="1" ht="15.75" hidden="1" customHeight="1" x14ac:dyDescent="0.25">
      <c r="B23" s="105" t="s">
        <v>855</v>
      </c>
      <c r="C23" s="105" t="s">
        <v>856</v>
      </c>
      <c r="D23" s="107">
        <f>'3 lentelė'!AE30</f>
        <v>1</v>
      </c>
      <c r="F23" s="95"/>
    </row>
    <row r="24" spans="2:6" s="87" customFormat="1" ht="31.5" hidden="1" customHeight="1" x14ac:dyDescent="0.25">
      <c r="B24" s="105" t="s">
        <v>841</v>
      </c>
      <c r="C24" s="105" t="s">
        <v>917</v>
      </c>
      <c r="D24" s="107">
        <f>'3 lentelė'!AE31</f>
        <v>2</v>
      </c>
      <c r="F24" s="95"/>
    </row>
    <row r="25" spans="2:6" s="87" customFormat="1" ht="31.5" hidden="1" customHeight="1" x14ac:dyDescent="0.25">
      <c r="B25" s="105" t="s">
        <v>847</v>
      </c>
      <c r="C25" s="105" t="s">
        <v>918</v>
      </c>
      <c r="D25" s="107">
        <f>'3 lentelė'!AE32</f>
        <v>3</v>
      </c>
      <c r="F25" s="95"/>
    </row>
    <row r="26" spans="2:6" s="87" customFormat="1" ht="31.5" hidden="1" customHeight="1" x14ac:dyDescent="0.25">
      <c r="B26" s="105" t="s">
        <v>849</v>
      </c>
      <c r="C26" s="105" t="s">
        <v>850</v>
      </c>
      <c r="D26" s="107">
        <f>'3 lentelė'!AE33</f>
        <v>2</v>
      </c>
      <c r="F26" s="95"/>
    </row>
    <row r="27" spans="2:6" s="87" customFormat="1" ht="15.75" hidden="1" customHeight="1" x14ac:dyDescent="0.25">
      <c r="B27" s="105" t="s">
        <v>804</v>
      </c>
      <c r="C27" s="104" t="s">
        <v>805</v>
      </c>
      <c r="D27" s="107">
        <f>'3 lentelė'!AE34</f>
        <v>213</v>
      </c>
      <c r="F27" s="95"/>
    </row>
    <row r="28" spans="2:6" s="87" customFormat="1" ht="15.75" hidden="1" customHeight="1" x14ac:dyDescent="0.25">
      <c r="B28" s="105" t="s">
        <v>919</v>
      </c>
      <c r="C28" s="105" t="s">
        <v>877</v>
      </c>
      <c r="D28" s="107">
        <f>'3 lentelė'!AE35</f>
        <v>5</v>
      </c>
      <c r="F28" s="95"/>
    </row>
    <row r="29" spans="2:6" s="87" customFormat="1" ht="31.5" hidden="1" customHeight="1" x14ac:dyDescent="0.25">
      <c r="B29" s="105" t="s">
        <v>920</v>
      </c>
      <c r="C29" s="105" t="s">
        <v>921</v>
      </c>
      <c r="D29" s="107">
        <f>'3 lentelė'!AE36</f>
        <v>0</v>
      </c>
      <c r="F29" s="95"/>
    </row>
    <row r="30" spans="2:6" s="87" customFormat="1" ht="31.5" hidden="1" customHeight="1" x14ac:dyDescent="0.25">
      <c r="B30" s="105" t="s">
        <v>786</v>
      </c>
      <c r="C30" s="105" t="s">
        <v>787</v>
      </c>
      <c r="D30" s="107">
        <f>'3 lentelė'!AE37</f>
        <v>1.56</v>
      </c>
      <c r="F30" s="95"/>
    </row>
    <row r="31" spans="2:6" s="87" customFormat="1" ht="15.75" hidden="1" customHeight="1" x14ac:dyDescent="0.25">
      <c r="B31" s="105" t="s">
        <v>922</v>
      </c>
      <c r="C31" s="105" t="s">
        <v>790</v>
      </c>
      <c r="D31" s="107">
        <f>'3 lentelė'!AE38</f>
        <v>1.6</v>
      </c>
      <c r="F31" s="95"/>
    </row>
    <row r="32" spans="2:6" s="87" customFormat="1" ht="15.75" hidden="1" customHeight="1" x14ac:dyDescent="0.25">
      <c r="B32" s="105" t="s">
        <v>923</v>
      </c>
      <c r="C32" s="105" t="s">
        <v>924</v>
      </c>
      <c r="D32" s="107">
        <f>'3 lentelė'!AE39</f>
        <v>3</v>
      </c>
      <c r="F32" s="95"/>
    </row>
    <row r="33" spans="2:6" s="87" customFormat="1" ht="31.5" hidden="1" x14ac:dyDescent="0.25">
      <c r="B33" s="105" t="s">
        <v>796</v>
      </c>
      <c r="C33" s="105" t="s">
        <v>925</v>
      </c>
      <c r="D33" s="107">
        <f>'3 lentelė'!AE40</f>
        <v>4</v>
      </c>
      <c r="F33" s="95"/>
    </row>
    <row r="34" spans="2:6" s="87" customFormat="1" ht="47.25" hidden="1" x14ac:dyDescent="0.25">
      <c r="B34" s="105" t="s">
        <v>819</v>
      </c>
      <c r="C34" s="105" t="s">
        <v>820</v>
      </c>
      <c r="D34" s="107">
        <f>'3 lentelė'!AE41</f>
        <v>124.5</v>
      </c>
      <c r="F34" s="95"/>
    </row>
    <row r="35" spans="2:6" s="87" customFormat="1" ht="31.5" hidden="1" x14ac:dyDescent="0.25">
      <c r="B35" s="105" t="s">
        <v>824</v>
      </c>
      <c r="C35" s="105" t="s">
        <v>828</v>
      </c>
      <c r="D35" s="107">
        <f>'3 lentelė'!AE42</f>
        <v>6069</v>
      </c>
      <c r="F35" s="95"/>
    </row>
    <row r="36" spans="2:6" s="87" customFormat="1" ht="31.5" hidden="1" x14ac:dyDescent="0.25">
      <c r="B36" s="105" t="s">
        <v>806</v>
      </c>
      <c r="C36" s="105" t="s">
        <v>807</v>
      </c>
      <c r="D36" s="107">
        <f>'3 lentelė'!AE43</f>
        <v>28.677</v>
      </c>
      <c r="F36" s="95"/>
    </row>
    <row r="37" spans="2:6" s="87" customFormat="1" ht="31.5" hidden="1" x14ac:dyDescent="0.25">
      <c r="B37" s="105" t="s">
        <v>798</v>
      </c>
      <c r="C37" s="105" t="s">
        <v>802</v>
      </c>
      <c r="D37" s="107">
        <f>'3 lentelė'!AE44</f>
        <v>4</v>
      </c>
      <c r="F37" s="95"/>
    </row>
    <row r="38" spans="2:6" s="87" customFormat="1" ht="31.5" hidden="1" x14ac:dyDescent="0.25">
      <c r="B38" s="105" t="s">
        <v>835</v>
      </c>
      <c r="C38" s="105" t="s">
        <v>837</v>
      </c>
      <c r="D38" s="107">
        <f>'3 lentelė'!AE45</f>
        <v>6</v>
      </c>
      <c r="F38" s="95"/>
    </row>
    <row r="39" spans="2:6" s="87" customFormat="1" ht="31.5" x14ac:dyDescent="0.25">
      <c r="B39" s="105" t="s">
        <v>781</v>
      </c>
      <c r="C39" s="105" t="s">
        <v>782</v>
      </c>
      <c r="D39" s="107">
        <f>'3 lentelė'!AE46</f>
        <v>12</v>
      </c>
      <c r="F39" s="95"/>
    </row>
    <row r="40" spans="2:6" s="87" customFormat="1" ht="15.75" hidden="1" x14ac:dyDescent="0.25">
      <c r="B40" s="105" t="s">
        <v>862</v>
      </c>
      <c r="C40" s="105" t="s">
        <v>926</v>
      </c>
      <c r="D40" s="107">
        <f>'3 lentelė'!AE47</f>
        <v>4</v>
      </c>
      <c r="F40" s="95"/>
    </row>
    <row r="41" spans="2:6" s="87" customFormat="1" ht="15.75" hidden="1" x14ac:dyDescent="0.25">
      <c r="B41" s="105" t="s">
        <v>868</v>
      </c>
      <c r="C41" s="105" t="s">
        <v>869</v>
      </c>
      <c r="D41" s="107">
        <f>'3 lentelė'!AE53</f>
        <v>95</v>
      </c>
      <c r="F41" s="95"/>
    </row>
    <row r="42" spans="2:6" s="87" customFormat="1" ht="31.5" hidden="1" x14ac:dyDescent="0.25">
      <c r="B42" s="105" t="s">
        <v>774</v>
      </c>
      <c r="C42" s="105" t="s">
        <v>775</v>
      </c>
      <c r="D42" s="107">
        <f>'3 lentelė'!AE54</f>
        <v>34500</v>
      </c>
      <c r="F42" s="95"/>
    </row>
    <row r="43" spans="2:6" s="87" customFormat="1" ht="31.5" hidden="1" x14ac:dyDescent="0.25">
      <c r="B43" s="105" t="s">
        <v>776</v>
      </c>
      <c r="C43" s="105" t="s">
        <v>777</v>
      </c>
      <c r="D43" s="107">
        <f>'3 lentelė'!AE55</f>
        <v>58</v>
      </c>
      <c r="F43" s="95"/>
    </row>
    <row r="44" spans="2:6" s="87" customFormat="1" ht="47.25" hidden="1" x14ac:dyDescent="0.25">
      <c r="B44" s="105" t="s">
        <v>853</v>
      </c>
      <c r="C44" s="105" t="s">
        <v>927</v>
      </c>
      <c r="D44" s="107">
        <f>'3 lentelė'!AE56</f>
        <v>8875</v>
      </c>
      <c r="F44" s="95"/>
    </row>
    <row r="45" spans="2:6" s="87" customFormat="1" ht="47.25" hidden="1" x14ac:dyDescent="0.25">
      <c r="B45" s="105" t="s">
        <v>928</v>
      </c>
      <c r="C45" s="105" t="s">
        <v>929</v>
      </c>
      <c r="D45" s="107">
        <f>'3 lentelė'!AE57</f>
        <v>0</v>
      </c>
      <c r="F45" s="95"/>
    </row>
    <row r="46" spans="2:6" s="87" customFormat="1" ht="47.25" hidden="1" x14ac:dyDescent="0.25">
      <c r="B46" s="105" t="s">
        <v>872</v>
      </c>
      <c r="C46" s="105" t="s">
        <v>873</v>
      </c>
      <c r="D46" s="107">
        <f>'3 lentelė'!AE58</f>
        <v>38</v>
      </c>
      <c r="F46" s="95"/>
    </row>
    <row r="47" spans="2:6" s="87" customFormat="1" ht="63" hidden="1" x14ac:dyDescent="0.25">
      <c r="B47" s="105" t="s">
        <v>874</v>
      </c>
      <c r="C47" s="105" t="s">
        <v>878</v>
      </c>
      <c r="D47" s="107">
        <f>'3 lentelė'!AE59</f>
        <v>125</v>
      </c>
      <c r="F47" s="95"/>
    </row>
    <row r="48" spans="2:6" s="87" customFormat="1" ht="31.5" hidden="1" x14ac:dyDescent="0.25">
      <c r="B48" s="105" t="s">
        <v>833</v>
      </c>
      <c r="C48" s="105" t="s">
        <v>834</v>
      </c>
      <c r="D48" s="107">
        <f>'3 lentelė'!AE60</f>
        <v>131.09</v>
      </c>
      <c r="F48" s="95"/>
    </row>
    <row r="49" spans="2:6" ht="31.5" hidden="1" x14ac:dyDescent="0.25">
      <c r="B49" s="105" t="s">
        <v>866</v>
      </c>
      <c r="C49" s="34" t="s">
        <v>867</v>
      </c>
      <c r="D49" s="52">
        <f>'3 lentelė'!AE61</f>
        <v>98</v>
      </c>
      <c r="E49" s="87"/>
      <c r="F49" s="45"/>
    </row>
    <row r="50" spans="2:6" ht="31.5" hidden="1" x14ac:dyDescent="0.25">
      <c r="B50" s="105" t="s">
        <v>780</v>
      </c>
      <c r="C50" s="34" t="s">
        <v>930</v>
      </c>
      <c r="D50" s="57">
        <f>'3 lentelė'!AE62</f>
        <v>0</v>
      </c>
      <c r="E50" s="87"/>
      <c r="F50" s="45"/>
    </row>
    <row r="51" spans="2:6" ht="31.5" hidden="1" x14ac:dyDescent="0.25">
      <c r="B51" s="105" t="s">
        <v>843</v>
      </c>
      <c r="C51" s="34" t="s">
        <v>844</v>
      </c>
      <c r="D51" s="57">
        <f>'3 lentelė'!AE63</f>
        <v>6</v>
      </c>
      <c r="E51" s="87"/>
      <c r="F51" s="45"/>
    </row>
    <row r="52" spans="2:6" ht="15.75" hidden="1" x14ac:dyDescent="0.25">
      <c r="B52" s="105" t="s">
        <v>838</v>
      </c>
      <c r="C52" s="34" t="s">
        <v>839</v>
      </c>
      <c r="D52" s="57">
        <f>'3 lentelė'!AE64</f>
        <v>2</v>
      </c>
      <c r="E52" s="87"/>
      <c r="F52" s="45"/>
    </row>
    <row r="53" spans="2:6" ht="63" hidden="1" x14ac:dyDescent="0.25">
      <c r="B53" s="105" t="s">
        <v>851</v>
      </c>
      <c r="C53" s="34" t="s">
        <v>942</v>
      </c>
      <c r="D53" s="57">
        <v>101</v>
      </c>
      <c r="E53" s="87"/>
      <c r="F53" s="45"/>
    </row>
    <row r="54" spans="2:6" ht="15.75" hidden="1" x14ac:dyDescent="0.25">
      <c r="B54" s="105" t="s">
        <v>940</v>
      </c>
      <c r="C54" s="34" t="s">
        <v>941</v>
      </c>
      <c r="D54" s="52">
        <f>'3 lentelė'!AE66</f>
        <v>9</v>
      </c>
      <c r="E54" s="87"/>
    </row>
    <row r="55" spans="2:6" ht="31.5" hidden="1" x14ac:dyDescent="0.25">
      <c r="B55" s="105" t="s">
        <v>987</v>
      </c>
      <c r="C55" s="34" t="s">
        <v>988</v>
      </c>
      <c r="D55" s="107">
        <f>'3 lentelė'!AE67</f>
        <v>89894</v>
      </c>
      <c r="E55" s="87"/>
    </row>
    <row r="56" spans="2:6" ht="47.25" hidden="1" x14ac:dyDescent="0.25">
      <c r="B56" s="105" t="s">
        <v>989</v>
      </c>
      <c r="C56" s="34" t="s">
        <v>990</v>
      </c>
      <c r="D56" s="52">
        <f>'3 lentelė'!AE68</f>
        <v>8</v>
      </c>
      <c r="E56" s="87"/>
    </row>
    <row r="57" spans="2:6" ht="15.75" x14ac:dyDescent="0.25">
      <c r="B57" s="112"/>
      <c r="C57" s="44"/>
      <c r="D57" s="44"/>
    </row>
    <row r="58" spans="2:6" ht="15.75" x14ac:dyDescent="0.25">
      <c r="B58" s="44"/>
      <c r="C58" s="44"/>
      <c r="D58" s="44"/>
    </row>
    <row r="59" spans="2:6" ht="15.75" x14ac:dyDescent="0.25">
      <c r="B59" s="44"/>
      <c r="C59" s="44"/>
      <c r="D59" s="44"/>
    </row>
    <row r="60" spans="2:6" ht="15.75" x14ac:dyDescent="0.25">
      <c r="B60" s="44"/>
      <c r="C60" s="44"/>
      <c r="D60" s="44"/>
    </row>
    <row r="61" spans="2:6" ht="15.75" x14ac:dyDescent="0.25">
      <c r="B61" s="44"/>
      <c r="C61" s="44"/>
      <c r="D61" s="44"/>
    </row>
    <row r="62" spans="2:6" ht="15.75" x14ac:dyDescent="0.25">
      <c r="B62" s="44"/>
      <c r="C62" s="44"/>
      <c r="D62" s="44"/>
    </row>
    <row r="63" spans="2:6" ht="15.75" x14ac:dyDescent="0.25">
      <c r="B63" s="44"/>
      <c r="C63" s="44"/>
      <c r="D63" s="44"/>
    </row>
    <row r="64" spans="2:6" ht="15.75" x14ac:dyDescent="0.25">
      <c r="B64" s="44"/>
      <c r="C64" s="44"/>
      <c r="D64" s="44"/>
    </row>
    <row r="65" spans="2:4" ht="15.75" x14ac:dyDescent="0.25">
      <c r="B65" s="44"/>
      <c r="C65" s="44"/>
      <c r="D65" s="44"/>
    </row>
    <row r="66" spans="2:4" ht="15.75" x14ac:dyDescent="0.25">
      <c r="B66" s="44"/>
      <c r="C66" s="44"/>
      <c r="D66" s="44"/>
    </row>
    <row r="67" spans="2:4" ht="15.75" x14ac:dyDescent="0.25">
      <c r="B67" s="44"/>
      <c r="C67" s="44"/>
      <c r="D67" s="44"/>
    </row>
    <row r="68" spans="2:4" ht="15.75" x14ac:dyDescent="0.25">
      <c r="B68" s="44"/>
      <c r="C68" s="44"/>
      <c r="D68" s="44"/>
    </row>
    <row r="69" spans="2:4" ht="15.75" x14ac:dyDescent="0.25">
      <c r="B69" s="44"/>
      <c r="C69" s="44"/>
      <c r="D69" s="44"/>
    </row>
    <row r="70" spans="2:4" ht="15.75" x14ac:dyDescent="0.25">
      <c r="B70" s="44"/>
      <c r="C70" s="44"/>
      <c r="D70" s="44"/>
    </row>
    <row r="71" spans="2:4" ht="15.75" x14ac:dyDescent="0.25">
      <c r="B71" s="44"/>
      <c r="C71" s="44"/>
      <c r="D71" s="44"/>
    </row>
    <row r="72" spans="2:4" ht="15.75" x14ac:dyDescent="0.25">
      <c r="B72" s="44"/>
      <c r="C72" s="44"/>
      <c r="D72" s="44"/>
    </row>
    <row r="73" spans="2:4" ht="15.75" x14ac:dyDescent="0.25">
      <c r="B73" s="44"/>
      <c r="C73" s="44"/>
      <c r="D73" s="44"/>
    </row>
    <row r="74" spans="2:4" ht="15.75" x14ac:dyDescent="0.25">
      <c r="B74" s="44"/>
      <c r="C74" s="44"/>
      <c r="D74" s="44"/>
    </row>
    <row r="75" spans="2:4" ht="15.75" x14ac:dyDescent="0.25">
      <c r="B75" s="44"/>
      <c r="C75" s="44"/>
      <c r="D75" s="44"/>
    </row>
    <row r="76" spans="2:4" ht="15.75" x14ac:dyDescent="0.25">
      <c r="B76" s="44"/>
      <c r="C76" s="44"/>
      <c r="D76" s="44"/>
    </row>
    <row r="77" spans="2:4" ht="15.75" x14ac:dyDescent="0.25">
      <c r="B77" s="44"/>
      <c r="C77" s="44"/>
      <c r="D77" s="44"/>
    </row>
    <row r="78" spans="2:4" ht="15.75" x14ac:dyDescent="0.25">
      <c r="B78" s="44"/>
      <c r="C78" s="44"/>
      <c r="D78" s="44"/>
    </row>
    <row r="79" spans="2:4" ht="15.75" x14ac:dyDescent="0.25">
      <c r="B79" s="44"/>
      <c r="C79" s="44"/>
      <c r="D79" s="44"/>
    </row>
    <row r="80" spans="2:4" ht="15.75" x14ac:dyDescent="0.25">
      <c r="B80" s="44"/>
      <c r="C80" s="44"/>
      <c r="D80" s="44"/>
    </row>
    <row r="81" spans="2:4" ht="15.75" x14ac:dyDescent="0.25">
      <c r="B81" s="44"/>
      <c r="C81" s="44"/>
      <c r="D81" s="44"/>
    </row>
    <row r="82" spans="2:4" ht="15.75" x14ac:dyDescent="0.25">
      <c r="B82" s="44"/>
      <c r="C82" s="44"/>
      <c r="D82" s="44"/>
    </row>
    <row r="83" spans="2:4" ht="15.75" x14ac:dyDescent="0.25">
      <c r="B83" s="44"/>
      <c r="C83" s="44"/>
      <c r="D83" s="44"/>
    </row>
    <row r="84" spans="2:4" ht="15.75" x14ac:dyDescent="0.25">
      <c r="B84" s="44"/>
      <c r="C84" s="44"/>
      <c r="D84" s="44"/>
    </row>
    <row r="85" spans="2:4" ht="15.75" x14ac:dyDescent="0.25">
      <c r="B85" s="44"/>
      <c r="C85" s="44"/>
      <c r="D85" s="44"/>
    </row>
    <row r="86" spans="2:4" ht="15.75" x14ac:dyDescent="0.25">
      <c r="B86" s="44"/>
      <c r="C86" s="44"/>
      <c r="D86" s="44"/>
    </row>
    <row r="87" spans="2:4" ht="15.75" x14ac:dyDescent="0.25">
      <c r="B87" s="44"/>
      <c r="C87" s="44"/>
      <c r="D87" s="44"/>
    </row>
    <row r="88" spans="2:4" ht="15.75" x14ac:dyDescent="0.25">
      <c r="B88" s="44"/>
      <c r="C88" s="44"/>
      <c r="D88" s="44"/>
    </row>
    <row r="89" spans="2:4" ht="15.75" x14ac:dyDescent="0.25">
      <c r="B89" s="44"/>
      <c r="C89" s="44"/>
      <c r="D89" s="44"/>
    </row>
    <row r="90" spans="2:4" ht="15.75" x14ac:dyDescent="0.25">
      <c r="B90" s="44"/>
      <c r="C90" s="44"/>
      <c r="D90" s="44"/>
    </row>
    <row r="91" spans="2:4" ht="15.75" x14ac:dyDescent="0.25">
      <c r="B91" s="44"/>
      <c r="C91" s="44"/>
      <c r="D91" s="44"/>
    </row>
    <row r="92" spans="2:4" ht="15.75" x14ac:dyDescent="0.25">
      <c r="B92" s="44"/>
      <c r="C92" s="44"/>
      <c r="D92" s="44"/>
    </row>
    <row r="93" spans="2:4" ht="15.75" x14ac:dyDescent="0.25">
      <c r="B93" s="44"/>
      <c r="C93" s="44"/>
      <c r="D93" s="44"/>
    </row>
    <row r="94" spans="2:4" ht="15.75" x14ac:dyDescent="0.25">
      <c r="B94" s="44"/>
      <c r="C94" s="44"/>
      <c r="D94" s="44"/>
    </row>
    <row r="95" spans="2:4" ht="15.75" x14ac:dyDescent="0.25">
      <c r="B95" s="44"/>
      <c r="C95" s="44"/>
      <c r="D95" s="44"/>
    </row>
    <row r="96" spans="2:4" ht="15.75" x14ac:dyDescent="0.25">
      <c r="B96" s="44"/>
      <c r="C96" s="44"/>
      <c r="D96" s="44"/>
    </row>
    <row r="97" spans="2:4" ht="15.75" x14ac:dyDescent="0.25">
      <c r="B97" s="44"/>
      <c r="C97" s="44"/>
      <c r="D97" s="44"/>
    </row>
    <row r="98" spans="2:4" ht="15.75" x14ac:dyDescent="0.25">
      <c r="B98" s="44"/>
      <c r="C98" s="44"/>
      <c r="D98" s="44"/>
    </row>
    <row r="99" spans="2:4" ht="15.75" x14ac:dyDescent="0.25">
      <c r="B99" s="44"/>
      <c r="C99" s="44"/>
      <c r="D99" s="44"/>
    </row>
    <row r="100" spans="2:4" ht="15.75" x14ac:dyDescent="0.25">
      <c r="B100" s="44"/>
      <c r="C100" s="44"/>
      <c r="D100" s="44"/>
    </row>
    <row r="101" spans="2:4" ht="15.75" x14ac:dyDescent="0.25">
      <c r="B101" s="44"/>
      <c r="C101" s="44"/>
      <c r="D101" s="44"/>
    </row>
    <row r="102" spans="2:4" ht="15.75" x14ac:dyDescent="0.25">
      <c r="B102" s="44"/>
      <c r="C102" s="44"/>
      <c r="D102" s="44"/>
    </row>
    <row r="103" spans="2:4" ht="15.75" x14ac:dyDescent="0.25">
      <c r="B103" s="44"/>
      <c r="C103" s="44"/>
      <c r="D103" s="44"/>
    </row>
    <row r="104" spans="2:4" ht="15.75" x14ac:dyDescent="0.25">
      <c r="B104" s="44"/>
      <c r="C104" s="44"/>
      <c r="D104" s="44"/>
    </row>
    <row r="105" spans="2:4" ht="15.75" x14ac:dyDescent="0.25">
      <c r="B105" s="44"/>
      <c r="C105" s="44"/>
      <c r="D105" s="44"/>
    </row>
    <row r="106" spans="2:4" ht="15.75" x14ac:dyDescent="0.25">
      <c r="B106" s="44"/>
      <c r="C106" s="44"/>
      <c r="D106" s="44"/>
    </row>
    <row r="107" spans="2:4" ht="15.75" x14ac:dyDescent="0.25">
      <c r="B107" s="44"/>
      <c r="C107" s="44"/>
      <c r="D107" s="44"/>
    </row>
    <row r="108" spans="2:4" ht="15.75" x14ac:dyDescent="0.25">
      <c r="B108" s="44"/>
      <c r="C108" s="44"/>
      <c r="D108" s="44"/>
    </row>
    <row r="109" spans="2:4" ht="15.75" x14ac:dyDescent="0.25">
      <c r="B109" s="44"/>
      <c r="C109" s="44"/>
      <c r="D109" s="44"/>
    </row>
    <row r="110" spans="2:4" ht="15.75" x14ac:dyDescent="0.25">
      <c r="B110" s="44"/>
      <c r="C110" s="44"/>
      <c r="D110" s="44"/>
    </row>
    <row r="111" spans="2:4" ht="15.75" x14ac:dyDescent="0.25">
      <c r="B111" s="44"/>
      <c r="C111" s="44"/>
      <c r="D111" s="44"/>
    </row>
    <row r="112" spans="2:4" ht="15.75" x14ac:dyDescent="0.25">
      <c r="B112" s="44"/>
      <c r="C112" s="44"/>
      <c r="D112" s="44"/>
    </row>
    <row r="113" spans="2:4" ht="15.75" x14ac:dyDescent="0.25">
      <c r="B113" s="44"/>
      <c r="C113" s="44"/>
      <c r="D113" s="44"/>
    </row>
    <row r="114" spans="2:4" ht="15.75" x14ac:dyDescent="0.25">
      <c r="B114" s="44"/>
      <c r="C114" s="44"/>
      <c r="D114" s="44"/>
    </row>
    <row r="115" spans="2:4" ht="15.75" x14ac:dyDescent="0.25">
      <c r="B115" s="44"/>
      <c r="C115" s="44"/>
      <c r="D115" s="44"/>
    </row>
    <row r="116" spans="2:4" ht="15.75" x14ac:dyDescent="0.25">
      <c r="B116" s="44"/>
      <c r="C116" s="44"/>
      <c r="D116" s="44"/>
    </row>
    <row r="117" spans="2:4" ht="15.75" x14ac:dyDescent="0.25">
      <c r="B117" s="44"/>
      <c r="C117" s="44"/>
      <c r="D117" s="44"/>
    </row>
    <row r="118" spans="2:4" ht="15.75" x14ac:dyDescent="0.25">
      <c r="B118" s="44"/>
      <c r="C118" s="44"/>
      <c r="D118" s="44"/>
    </row>
    <row r="119" spans="2:4" ht="15.75" x14ac:dyDescent="0.25">
      <c r="B119" s="44"/>
      <c r="C119" s="44"/>
      <c r="D119" s="44"/>
    </row>
    <row r="120" spans="2:4" ht="15.75" x14ac:dyDescent="0.25">
      <c r="B120" s="44"/>
      <c r="C120" s="44"/>
      <c r="D120" s="44"/>
    </row>
    <row r="121" spans="2:4" ht="15.75" x14ac:dyDescent="0.25">
      <c r="B121" s="44"/>
      <c r="C121" s="44"/>
      <c r="D121" s="44"/>
    </row>
    <row r="122" spans="2:4" ht="15.75" x14ac:dyDescent="0.25">
      <c r="B122" s="44"/>
      <c r="C122" s="44"/>
      <c r="D122" s="44"/>
    </row>
    <row r="123" spans="2:4" ht="15.75" x14ac:dyDescent="0.25">
      <c r="B123" s="44"/>
      <c r="C123" s="44"/>
      <c r="D123" s="44"/>
    </row>
    <row r="124" spans="2:4" ht="15.75" x14ac:dyDescent="0.25">
      <c r="B124" s="44"/>
      <c r="C124" s="44"/>
      <c r="D124" s="44"/>
    </row>
    <row r="125" spans="2:4" ht="15.75" x14ac:dyDescent="0.25">
      <c r="B125" s="44"/>
      <c r="C125" s="44"/>
      <c r="D125" s="44"/>
    </row>
    <row r="126" spans="2:4" ht="15.75" x14ac:dyDescent="0.25">
      <c r="B126" s="44"/>
      <c r="C126" s="44"/>
      <c r="D126" s="44"/>
    </row>
    <row r="127" spans="2:4" ht="15.75" x14ac:dyDescent="0.25">
      <c r="B127" s="44"/>
      <c r="C127" s="44"/>
      <c r="D127" s="44"/>
    </row>
    <row r="128" spans="2:4" ht="15.75" x14ac:dyDescent="0.25">
      <c r="B128" s="44"/>
      <c r="C128" s="44"/>
      <c r="D128" s="44"/>
    </row>
    <row r="129" spans="2:4" ht="15.75" x14ac:dyDescent="0.25">
      <c r="B129" s="44"/>
      <c r="C129" s="44"/>
      <c r="D129" s="44"/>
    </row>
    <row r="130" spans="2:4" ht="15.75" x14ac:dyDescent="0.25">
      <c r="B130" s="44"/>
      <c r="C130" s="44"/>
      <c r="D130" s="44"/>
    </row>
    <row r="131" spans="2:4" ht="15.75" x14ac:dyDescent="0.25">
      <c r="B131" s="44"/>
      <c r="C131" s="44"/>
      <c r="D131" s="44"/>
    </row>
    <row r="132" spans="2:4" ht="15.75" x14ac:dyDescent="0.25">
      <c r="B132" s="44"/>
      <c r="C132" s="44"/>
      <c r="D132" s="44"/>
    </row>
    <row r="133" spans="2:4" ht="15.75" x14ac:dyDescent="0.25">
      <c r="B133" s="44"/>
      <c r="C133" s="44"/>
      <c r="D133" s="44"/>
    </row>
    <row r="134" spans="2:4" ht="15.75" x14ac:dyDescent="0.25">
      <c r="B134" s="44"/>
      <c r="C134" s="44"/>
      <c r="D134" s="44"/>
    </row>
    <row r="135" spans="2:4" ht="15.75" x14ac:dyDescent="0.25">
      <c r="B135" s="44"/>
      <c r="C135" s="44"/>
      <c r="D135" s="44"/>
    </row>
    <row r="136" spans="2:4" ht="15.75" x14ac:dyDescent="0.25">
      <c r="B136" s="44"/>
      <c r="C136" s="44"/>
      <c r="D136" s="44"/>
    </row>
    <row r="137" spans="2:4" ht="15.75" x14ac:dyDescent="0.25">
      <c r="B137" s="44"/>
      <c r="C137" s="44"/>
      <c r="D137" s="44"/>
    </row>
    <row r="138" spans="2:4" ht="15.75" x14ac:dyDescent="0.25">
      <c r="B138" s="44"/>
      <c r="C138" s="44"/>
      <c r="D138" s="44"/>
    </row>
    <row r="139" spans="2:4" ht="15.75" x14ac:dyDescent="0.25">
      <c r="B139" s="44"/>
      <c r="C139" s="44"/>
      <c r="D139" s="44"/>
    </row>
    <row r="140" spans="2:4" ht="15.75" x14ac:dyDescent="0.25">
      <c r="B140" s="44"/>
      <c r="C140" s="44"/>
      <c r="D140" s="44"/>
    </row>
    <row r="141" spans="2:4" ht="15.75" x14ac:dyDescent="0.25">
      <c r="B141" s="44"/>
      <c r="C141" s="44"/>
      <c r="D141" s="44"/>
    </row>
    <row r="142" spans="2:4" ht="15.75" x14ac:dyDescent="0.25">
      <c r="B142" s="44"/>
      <c r="C142" s="44"/>
      <c r="D142" s="44"/>
    </row>
    <row r="143" spans="2:4" ht="15.75" x14ac:dyDescent="0.25">
      <c r="B143" s="44"/>
      <c r="C143" s="44"/>
      <c r="D143" s="44"/>
    </row>
    <row r="144" spans="2:4" ht="15.75" x14ac:dyDescent="0.25">
      <c r="B144" s="44"/>
      <c r="C144" s="44"/>
      <c r="D144" s="44"/>
    </row>
    <row r="145" spans="2:4" ht="15.75" x14ac:dyDescent="0.25">
      <c r="B145" s="44"/>
      <c r="C145" s="44"/>
      <c r="D145" s="44"/>
    </row>
    <row r="146" spans="2:4" ht="15.75" x14ac:dyDescent="0.25">
      <c r="B146" s="44"/>
      <c r="C146" s="44"/>
      <c r="D146" s="44"/>
    </row>
    <row r="147" spans="2:4" ht="15.75" x14ac:dyDescent="0.25">
      <c r="B147" s="44"/>
      <c r="C147" s="44"/>
      <c r="D147" s="44"/>
    </row>
    <row r="148" spans="2:4" ht="15.75" x14ac:dyDescent="0.25">
      <c r="B148" s="44"/>
      <c r="C148" s="44"/>
      <c r="D148" s="44"/>
    </row>
    <row r="149" spans="2:4" ht="15.75" x14ac:dyDescent="0.25">
      <c r="B149" s="44"/>
      <c r="C149" s="44"/>
      <c r="D149" s="44"/>
    </row>
    <row r="150" spans="2:4" ht="15.75" x14ac:dyDescent="0.25">
      <c r="B150" s="44"/>
      <c r="C150" s="44"/>
      <c r="D150" s="44"/>
    </row>
    <row r="151" spans="2:4" ht="15.75" x14ac:dyDescent="0.25">
      <c r="B151" s="44"/>
      <c r="C151" s="44"/>
      <c r="D151" s="44"/>
    </row>
    <row r="152" spans="2:4" ht="15.75" x14ac:dyDescent="0.25">
      <c r="B152" s="44"/>
      <c r="C152" s="44"/>
      <c r="D152" s="44"/>
    </row>
    <row r="153" spans="2:4" x14ac:dyDescent="0.25">
      <c r="B153" s="4"/>
      <c r="C153" s="4"/>
      <c r="D153" s="4"/>
    </row>
    <row r="154" spans="2:4" x14ac:dyDescent="0.25">
      <c r="B154" s="4"/>
      <c r="C154" s="4"/>
      <c r="D154" s="4"/>
    </row>
    <row r="155" spans="2:4" x14ac:dyDescent="0.25">
      <c r="B155" s="4"/>
      <c r="C155" s="4"/>
      <c r="D155" s="4"/>
    </row>
  </sheetData>
  <mergeCells count="3">
    <mergeCell ref="D1:G1"/>
    <mergeCell ref="D2:G2"/>
    <mergeCell ref="D3:G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F13" sqref="F13:K35"/>
    </sheetView>
  </sheetViews>
  <sheetFormatPr defaultRowHeight="15" x14ac:dyDescent="0.25"/>
  <cols>
    <col min="1" max="1" width="3.7109375" style="5" customWidth="1"/>
    <col min="2" max="2" width="22.28515625" customWidth="1"/>
    <col min="3" max="3" width="19.28515625" customWidth="1"/>
    <col min="4" max="4" width="12.140625" customWidth="1"/>
    <col min="5" max="6" width="11.42578125" customWidth="1"/>
    <col min="7" max="7" width="13.28515625" customWidth="1"/>
    <col min="8" max="8" width="12.7109375" customWidth="1"/>
    <col min="9" max="9" width="14.42578125" customWidth="1"/>
    <col min="10" max="10" width="15.7109375" customWidth="1"/>
    <col min="11" max="11" width="19.85546875" customWidth="1"/>
    <col min="14" max="14" width="14.28515625" customWidth="1"/>
  </cols>
  <sheetData>
    <row r="1" spans="2:12" ht="15.75" x14ac:dyDescent="0.25">
      <c r="I1" s="161" t="s">
        <v>140</v>
      </c>
      <c r="J1" s="161"/>
      <c r="K1" s="161"/>
      <c r="L1" s="161"/>
    </row>
    <row r="2" spans="2:12" ht="15.75" x14ac:dyDescent="0.25">
      <c r="I2" s="162" t="s">
        <v>24</v>
      </c>
      <c r="J2" s="162"/>
      <c r="K2" s="162"/>
      <c r="L2" s="162"/>
    </row>
    <row r="3" spans="2:12" ht="15.75" x14ac:dyDescent="0.25">
      <c r="I3" s="162" t="s">
        <v>25</v>
      </c>
      <c r="J3" s="162"/>
      <c r="K3" s="162"/>
      <c r="L3" s="162"/>
    </row>
    <row r="4" spans="2:12" s="53" customFormat="1" x14ac:dyDescent="0.25"/>
    <row r="5" spans="2:12" s="53" customFormat="1" ht="15.75" x14ac:dyDescent="0.25">
      <c r="B5" s="64" t="s">
        <v>76</v>
      </c>
    </row>
    <row r="6" spans="2:12" s="53" customFormat="1" ht="15.75" x14ac:dyDescent="0.25">
      <c r="B6" s="64" t="s">
        <v>72</v>
      </c>
    </row>
    <row r="7" spans="2:12" s="53" customFormat="1" ht="15.75" x14ac:dyDescent="0.25">
      <c r="B7" s="65"/>
      <c r="C7" s="66" t="s">
        <v>73</v>
      </c>
      <c r="D7" s="66">
        <v>2014</v>
      </c>
      <c r="E7" s="66">
        <v>2015</v>
      </c>
      <c r="F7" s="66">
        <v>2016</v>
      </c>
      <c r="G7" s="66">
        <v>2017</v>
      </c>
      <c r="H7" s="66">
        <v>2018</v>
      </c>
      <c r="I7" s="66">
        <v>2019</v>
      </c>
      <c r="J7" s="66">
        <v>2020</v>
      </c>
      <c r="K7" s="67" t="s">
        <v>12</v>
      </c>
    </row>
    <row r="8" spans="2:12" s="53" customFormat="1" ht="51" x14ac:dyDescent="0.25">
      <c r="B8" s="47" t="s">
        <v>74</v>
      </c>
      <c r="C8" s="47" t="s">
        <v>75</v>
      </c>
      <c r="D8" s="68"/>
      <c r="E8" s="69"/>
      <c r="F8" s="68"/>
      <c r="G8" s="68"/>
      <c r="H8" s="68"/>
      <c r="I8" s="68"/>
      <c r="J8" s="68"/>
      <c r="K8" s="68"/>
    </row>
    <row r="9" spans="2:12" s="98" customFormat="1" ht="25.5" hidden="1" customHeight="1" x14ac:dyDescent="0.25">
      <c r="B9" s="97" t="s">
        <v>459</v>
      </c>
      <c r="C9" s="97" t="s">
        <v>879</v>
      </c>
      <c r="D9" s="97">
        <f>'5 lentelė'!E13</f>
        <v>0</v>
      </c>
      <c r="E9" s="97">
        <f>'1 lentelė'!G13</f>
        <v>0</v>
      </c>
      <c r="F9" s="97">
        <f>'1 lentelė'!I13</f>
        <v>0</v>
      </c>
      <c r="G9" s="97">
        <f>'1 lentelė'!K13</f>
        <v>4579773.51</v>
      </c>
      <c r="H9" s="97">
        <f>'1 lentelė'!M13</f>
        <v>3408612.66</v>
      </c>
      <c r="I9" s="97">
        <f>'1 lentelė'!O13</f>
        <v>1467459.5</v>
      </c>
      <c r="J9" s="97">
        <f>'1 lentelė'!Q13</f>
        <v>0</v>
      </c>
      <c r="K9" s="97">
        <f t="shared" ref="K9:K34" si="0">D9+E9+F9+G9+H9+I9+J9</f>
        <v>9455845.6699999999</v>
      </c>
    </row>
    <row r="10" spans="2:12" s="53" customFormat="1" ht="38.25" hidden="1" customHeight="1" x14ac:dyDescent="0.25">
      <c r="B10" s="47" t="s">
        <v>880</v>
      </c>
      <c r="C10" s="47" t="s">
        <v>881</v>
      </c>
      <c r="D10" s="47">
        <v>0</v>
      </c>
      <c r="E10" s="47">
        <v>0</v>
      </c>
      <c r="F10" s="47">
        <v>0</v>
      </c>
      <c r="G10" s="47">
        <f>'2 lentelė'!Q26</f>
        <v>239072</v>
      </c>
      <c r="H10" s="47">
        <v>0</v>
      </c>
      <c r="I10" s="47">
        <v>0</v>
      </c>
      <c r="J10" s="47">
        <v>0</v>
      </c>
      <c r="K10" s="47">
        <f t="shared" si="0"/>
        <v>239072</v>
      </c>
    </row>
    <row r="11" spans="2:12" s="53" customFormat="1" ht="38.25" hidden="1" customHeight="1" x14ac:dyDescent="0.25">
      <c r="B11" s="97" t="s">
        <v>882</v>
      </c>
      <c r="C11" s="47" t="s">
        <v>884</v>
      </c>
      <c r="D11" s="47">
        <v>0</v>
      </c>
      <c r="E11" s="47">
        <v>0</v>
      </c>
      <c r="F11" s="47">
        <f>'2 lentelė'!Q27+'2 lentelė'!Q28</f>
        <v>2202415.2800000003</v>
      </c>
      <c r="G11" s="47">
        <v>0</v>
      </c>
      <c r="H11" s="47">
        <v>0</v>
      </c>
      <c r="I11" s="47">
        <v>0</v>
      </c>
      <c r="J11" s="47">
        <v>0</v>
      </c>
      <c r="K11" s="47">
        <f t="shared" si="0"/>
        <v>2202415.2800000003</v>
      </c>
    </row>
    <row r="12" spans="2:12" s="53" customFormat="1" ht="25.5" hidden="1" customHeight="1" x14ac:dyDescent="0.25">
      <c r="B12" s="47" t="s">
        <v>535</v>
      </c>
      <c r="C12" s="47" t="s">
        <v>883</v>
      </c>
      <c r="D12" s="47">
        <f>'1 lentelė'!E33</f>
        <v>0</v>
      </c>
      <c r="E12" s="47">
        <f>'1 lentelė'!G33</f>
        <v>0</v>
      </c>
      <c r="F12" s="47">
        <f>'1 lentelė'!I33</f>
        <v>0</v>
      </c>
      <c r="G12" s="47">
        <f>'1 lentelė'!K33</f>
        <v>769018</v>
      </c>
      <c r="H12" s="47">
        <f>'1 lentelė'!M33</f>
        <v>0</v>
      </c>
      <c r="I12" s="47">
        <f>'1 lentelė'!O33</f>
        <v>0</v>
      </c>
      <c r="J12" s="47">
        <f>'1 lentelė'!Q33</f>
        <v>0</v>
      </c>
      <c r="K12" s="47">
        <f t="shared" si="0"/>
        <v>769018</v>
      </c>
    </row>
    <row r="13" spans="2:12" s="98" customFormat="1" ht="15" customHeight="1" x14ac:dyDescent="0.25">
      <c r="B13" s="97" t="s">
        <v>540</v>
      </c>
      <c r="C13" s="97" t="s">
        <v>885</v>
      </c>
      <c r="D13" s="97">
        <f>'1 lentelė'!E40</f>
        <v>0</v>
      </c>
      <c r="E13" s="97">
        <f>'1 lentelė'!G40</f>
        <v>0</v>
      </c>
      <c r="F13" s="97">
        <f>'1 lentelė'!I40</f>
        <v>0</v>
      </c>
      <c r="G13" s="97">
        <f>'1 lentelė'!K40</f>
        <v>1057912.3600000001</v>
      </c>
      <c r="H13" s="97">
        <f>'1 lentelė'!M40</f>
        <v>1019746.16</v>
      </c>
      <c r="I13" s="97">
        <f>'1 lentelė'!O40</f>
        <v>1326062.3699999999</v>
      </c>
      <c r="J13" s="97">
        <f>'1 lentelė'!Q40</f>
        <v>436398.04</v>
      </c>
      <c r="K13" s="97">
        <f t="shared" si="0"/>
        <v>3840118.9299999997</v>
      </c>
    </row>
    <row r="14" spans="2:12" s="53" customFormat="1" ht="38.25" hidden="1" customHeight="1" x14ac:dyDescent="0.25">
      <c r="B14" s="47" t="s">
        <v>559</v>
      </c>
      <c r="C14" s="47" t="s">
        <v>886</v>
      </c>
      <c r="D14" s="47">
        <f>'1 lentelė'!E55</f>
        <v>0</v>
      </c>
      <c r="E14" s="47">
        <f>'1 lentelė'!G55</f>
        <v>0</v>
      </c>
      <c r="F14" s="47">
        <f>'1 lentelė'!I55</f>
        <v>0</v>
      </c>
      <c r="G14" s="47">
        <f>'1 lentelė'!K55</f>
        <v>0</v>
      </c>
      <c r="H14" s="47">
        <f>'1 lentelė'!M55</f>
        <v>308052</v>
      </c>
      <c r="I14" s="47">
        <f>'1 lentelė'!O55</f>
        <v>87500</v>
      </c>
      <c r="J14" s="47">
        <f>'1 lentelė'!Q55</f>
        <v>0</v>
      </c>
      <c r="K14" s="47">
        <f t="shared" si="0"/>
        <v>395552</v>
      </c>
    </row>
    <row r="15" spans="2:12" s="53" customFormat="1" ht="25.5" hidden="1" x14ac:dyDescent="0.25">
      <c r="B15" s="97" t="s">
        <v>567</v>
      </c>
      <c r="C15" s="47" t="s">
        <v>887</v>
      </c>
      <c r="D15" s="47">
        <v>0</v>
      </c>
      <c r="E15" s="47">
        <v>0</v>
      </c>
      <c r="F15" s="47">
        <v>0</v>
      </c>
      <c r="G15" s="47">
        <v>0</v>
      </c>
      <c r="H15" s="47">
        <v>0</v>
      </c>
      <c r="I15" s="47">
        <f>'2 lentelė'!Q60+'2 lentelė'!Q62</f>
        <v>1210838</v>
      </c>
      <c r="J15" s="47">
        <v>0</v>
      </c>
      <c r="K15" s="47">
        <f t="shared" si="0"/>
        <v>1210838</v>
      </c>
    </row>
    <row r="16" spans="2:12" s="53" customFormat="1" ht="25.5" hidden="1" x14ac:dyDescent="0.25">
      <c r="B16" s="97" t="s">
        <v>568</v>
      </c>
      <c r="C16" s="47" t="s">
        <v>888</v>
      </c>
      <c r="D16" s="47">
        <v>0</v>
      </c>
      <c r="E16" s="47">
        <v>0</v>
      </c>
      <c r="F16" s="47">
        <f>'2 lentelė'!Q59</f>
        <v>42500</v>
      </c>
      <c r="G16" s="47">
        <f>'2 lentelė'!Q61</f>
        <v>13345</v>
      </c>
      <c r="H16" s="47">
        <v>0</v>
      </c>
      <c r="I16" s="47">
        <v>0</v>
      </c>
      <c r="J16" s="47">
        <v>0</v>
      </c>
      <c r="K16" s="47">
        <f t="shared" si="0"/>
        <v>55845</v>
      </c>
    </row>
    <row r="17" spans="2:11" s="53" customFormat="1" ht="51" hidden="1" x14ac:dyDescent="0.25">
      <c r="B17" s="97" t="s">
        <v>579</v>
      </c>
      <c r="C17" s="47" t="s">
        <v>889</v>
      </c>
      <c r="D17" s="47">
        <f>'1 lentelė'!E63</f>
        <v>0</v>
      </c>
      <c r="E17" s="47">
        <f>'1 lentelė'!G63</f>
        <v>0</v>
      </c>
      <c r="F17" s="47">
        <f>'1 lentelė'!I63</f>
        <v>0</v>
      </c>
      <c r="G17" s="47">
        <f>'1 lentelė'!K63</f>
        <v>0</v>
      </c>
      <c r="H17" s="47">
        <f>'1 lentelė'!M63</f>
        <v>0</v>
      </c>
      <c r="I17" s="47">
        <f>'1 lentelė'!O63</f>
        <v>691815</v>
      </c>
      <c r="J17" s="47">
        <f>'1 lentelė'!Q63</f>
        <v>0</v>
      </c>
      <c r="K17" s="47">
        <f t="shared" si="0"/>
        <v>691815</v>
      </c>
    </row>
    <row r="18" spans="2:11" s="53" customFormat="1" ht="38.25" hidden="1" x14ac:dyDescent="0.25">
      <c r="B18" s="97" t="s">
        <v>583</v>
      </c>
      <c r="C18" s="47" t="s">
        <v>890</v>
      </c>
      <c r="D18" s="47">
        <f>'1 lentelė'!E70</f>
        <v>0</v>
      </c>
      <c r="E18" s="47">
        <f>'1 lentelė'!G70</f>
        <v>0</v>
      </c>
      <c r="F18" s="47">
        <f>'1 lentelė'!I70</f>
        <v>0</v>
      </c>
      <c r="G18" s="47">
        <f>'1 lentelė'!K70</f>
        <v>1180721</v>
      </c>
      <c r="H18" s="47">
        <f>'1 lentelė'!M70</f>
        <v>0</v>
      </c>
      <c r="I18" s="47">
        <f>'1 lentelė'!O70</f>
        <v>0</v>
      </c>
      <c r="J18" s="47">
        <f>'1 lentelė'!Q70</f>
        <v>0</v>
      </c>
      <c r="K18" s="47">
        <f t="shared" si="0"/>
        <v>1180721</v>
      </c>
    </row>
    <row r="19" spans="2:11" s="53" customFormat="1" ht="75.75" hidden="1" customHeight="1" x14ac:dyDescent="0.25">
      <c r="B19" s="97" t="s">
        <v>891</v>
      </c>
      <c r="C19" s="47" t="s">
        <v>892</v>
      </c>
      <c r="D19" s="47">
        <f>'1 lentelė'!E76</f>
        <v>0</v>
      </c>
      <c r="E19" s="47">
        <f>'1 lentelė'!G76</f>
        <v>0</v>
      </c>
      <c r="F19" s="47">
        <f>'1 lentelė'!I76</f>
        <v>0</v>
      </c>
      <c r="G19" s="47">
        <f>'1 lentelė'!K76</f>
        <v>253936.88</v>
      </c>
      <c r="H19" s="47">
        <f>'1 lentelė'!M76</f>
        <v>0</v>
      </c>
      <c r="I19" s="47">
        <f>'1 lentelė'!O76</f>
        <v>290305.83</v>
      </c>
      <c r="J19" s="47">
        <f>'1 lentelė'!Q77</f>
        <v>0</v>
      </c>
      <c r="K19" s="47">
        <f t="shared" si="0"/>
        <v>544242.71</v>
      </c>
    </row>
    <row r="20" spans="2:11" s="98" customFormat="1" ht="76.5" hidden="1" x14ac:dyDescent="0.25">
      <c r="B20" s="97" t="s">
        <v>608</v>
      </c>
      <c r="C20" s="97" t="s">
        <v>893</v>
      </c>
      <c r="D20" s="97">
        <f>'1 lentelė'!E81</f>
        <v>0</v>
      </c>
      <c r="E20" s="97">
        <f>'1 lentelė'!G81</f>
        <v>0</v>
      </c>
      <c r="F20" s="97">
        <f>'1 lentelė'!I81</f>
        <v>6050727.4300000006</v>
      </c>
      <c r="G20" s="97">
        <f>'1 lentelė'!K81</f>
        <v>823834.4</v>
      </c>
      <c r="H20" s="97">
        <f>'1 lentelė'!M81</f>
        <v>0</v>
      </c>
      <c r="I20" s="97">
        <f>'1 lentelė'!O81</f>
        <v>1895370.19</v>
      </c>
      <c r="J20" s="97">
        <f>'1 lentelė'!Q81</f>
        <v>0</v>
      </c>
      <c r="K20" s="97">
        <f t="shared" si="0"/>
        <v>8769932.0200000014</v>
      </c>
    </row>
    <row r="21" spans="2:11" s="53" customFormat="1" ht="25.5" hidden="1" x14ac:dyDescent="0.25">
      <c r="B21" s="47" t="s">
        <v>621</v>
      </c>
      <c r="C21" s="47" t="s">
        <v>894</v>
      </c>
      <c r="D21" s="47">
        <f>'1 lentelė'!E93</f>
        <v>0</v>
      </c>
      <c r="E21" s="47">
        <f>'1 lentelė'!G93</f>
        <v>0</v>
      </c>
      <c r="F21" s="47">
        <f>'1 lentelė'!I93</f>
        <v>0</v>
      </c>
      <c r="G21" s="47">
        <f>'1 lentelė'!K93</f>
        <v>1745596.94</v>
      </c>
      <c r="H21" s="47">
        <f>'1 lentelė'!M93</f>
        <v>0</v>
      </c>
      <c r="I21" s="47">
        <f>'1 lentelė'!O93</f>
        <v>0</v>
      </c>
      <c r="J21" s="47">
        <f>'1 lentelė'!Q93</f>
        <v>0</v>
      </c>
      <c r="K21" s="47">
        <f t="shared" si="0"/>
        <v>1745596.94</v>
      </c>
    </row>
    <row r="22" spans="2:11" s="53" customFormat="1" ht="38.25" hidden="1" x14ac:dyDescent="0.25">
      <c r="B22" s="47" t="s">
        <v>626</v>
      </c>
      <c r="C22" s="47" t="s">
        <v>895</v>
      </c>
      <c r="D22" s="47">
        <f>'1 lentelė'!E96</f>
        <v>0</v>
      </c>
      <c r="E22" s="47">
        <f>'1 lentelė'!G96</f>
        <v>0</v>
      </c>
      <c r="F22" s="47">
        <f>'1 lentelė'!I96</f>
        <v>0</v>
      </c>
      <c r="G22" s="47">
        <f>'1 lentelė'!K96</f>
        <v>2832116.82</v>
      </c>
      <c r="H22" s="47">
        <f>'1 lentelė'!M96</f>
        <v>0</v>
      </c>
      <c r="I22" s="47">
        <f>'1 lentelė'!O96</f>
        <v>0</v>
      </c>
      <c r="J22" s="47">
        <f>'1 lentelė'!Q96</f>
        <v>0</v>
      </c>
      <c r="K22" s="47">
        <f t="shared" si="0"/>
        <v>2832116.82</v>
      </c>
    </row>
    <row r="23" spans="2:11" s="98" customFormat="1" ht="25.5" hidden="1" x14ac:dyDescent="0.25">
      <c r="B23" s="97" t="s">
        <v>641</v>
      </c>
      <c r="C23" s="97" t="s">
        <v>896</v>
      </c>
      <c r="D23" s="97">
        <f>'1 lentelė'!E104</f>
        <v>0</v>
      </c>
      <c r="E23" s="97">
        <f>'1 lentelė'!G104</f>
        <v>0</v>
      </c>
      <c r="F23" s="97">
        <f>'1 lentelė'!I104</f>
        <v>203010.14</v>
      </c>
      <c r="G23" s="97">
        <f>'1 lentelė'!K104</f>
        <v>1375870.84</v>
      </c>
      <c r="H23" s="97">
        <f>'1 lentelė'!M104</f>
        <v>366390.06</v>
      </c>
      <c r="I23" s="97">
        <f>'1 lentelė'!O104</f>
        <v>1019171</v>
      </c>
      <c r="J23" s="97">
        <f>'1 lentelė'!Q104</f>
        <v>0</v>
      </c>
      <c r="K23" s="97">
        <f t="shared" si="0"/>
        <v>2964442.04</v>
      </c>
    </row>
    <row r="24" spans="2:11" s="53" customFormat="1" hidden="1" x14ac:dyDescent="0.25">
      <c r="B24" s="47" t="s">
        <v>937</v>
      </c>
      <c r="C24" s="47" t="s">
        <v>939</v>
      </c>
      <c r="D24" s="47">
        <f>'1 lentelė'!E117</f>
        <v>0</v>
      </c>
      <c r="E24" s="47">
        <f>'1 lentelė'!G117</f>
        <v>0</v>
      </c>
      <c r="F24" s="47">
        <f>'1 lentelė'!I117</f>
        <v>0</v>
      </c>
      <c r="G24" s="47">
        <f>'1 lentelė'!K117</f>
        <v>0</v>
      </c>
      <c r="H24" s="47">
        <f>'1 lentelė'!M117</f>
        <v>1737720</v>
      </c>
      <c r="I24" s="47">
        <f>'1 lentelė'!O117</f>
        <v>0</v>
      </c>
      <c r="J24" s="47">
        <f>'1 lentelė'!Q117</f>
        <v>0</v>
      </c>
      <c r="K24" s="47">
        <f t="shared" si="0"/>
        <v>1737720</v>
      </c>
    </row>
    <row r="25" spans="2:11" s="53" customFormat="1" ht="51" hidden="1" x14ac:dyDescent="0.25">
      <c r="B25" s="47" t="s">
        <v>661</v>
      </c>
      <c r="C25" s="47" t="s">
        <v>897</v>
      </c>
      <c r="D25" s="47">
        <f>'1 lentelė'!E124</f>
        <v>0</v>
      </c>
      <c r="E25" s="47">
        <f>'1 lentelė'!G124</f>
        <v>0</v>
      </c>
      <c r="F25" s="47">
        <f>'1 lentelė'!I124</f>
        <v>0</v>
      </c>
      <c r="G25" s="47">
        <f>'1 lentelė'!K124</f>
        <v>0</v>
      </c>
      <c r="H25" s="47">
        <f>'1 lentelė'!M124</f>
        <v>560529</v>
      </c>
      <c r="I25" s="47">
        <f>'1 lentelė'!O124</f>
        <v>0</v>
      </c>
      <c r="J25" s="47">
        <f>'1 lentelė'!Q124</f>
        <v>0</v>
      </c>
      <c r="K25" s="47">
        <f t="shared" si="0"/>
        <v>560529</v>
      </c>
    </row>
    <row r="26" spans="2:11" s="53" customFormat="1" ht="25.5" hidden="1" x14ac:dyDescent="0.25">
      <c r="B26" s="47" t="s">
        <v>666</v>
      </c>
      <c r="C26" s="47" t="s">
        <v>898</v>
      </c>
      <c r="D26" s="47">
        <f>'1 lentelė'!E127</f>
        <v>0</v>
      </c>
      <c r="E26" s="47">
        <f>'1 lentelė'!G127</f>
        <v>0</v>
      </c>
      <c r="F26" s="47">
        <f>'1 lentelė'!I127</f>
        <v>0</v>
      </c>
      <c r="G26" s="47">
        <f>'1 lentelė'!K127</f>
        <v>830529</v>
      </c>
      <c r="H26" s="47">
        <f>'1 lentelė'!M127</f>
        <v>0</v>
      </c>
      <c r="I26" s="47">
        <f>'1 lentelė'!O127</f>
        <v>0</v>
      </c>
      <c r="J26" s="47">
        <f>'1 lentelė'!Q127</f>
        <v>0</v>
      </c>
      <c r="K26" s="47">
        <f t="shared" si="0"/>
        <v>830529</v>
      </c>
    </row>
    <row r="27" spans="2:11" s="53" customFormat="1" ht="38.25" hidden="1" x14ac:dyDescent="0.25">
      <c r="B27" s="47" t="s">
        <v>673</v>
      </c>
      <c r="C27" s="47" t="s">
        <v>899</v>
      </c>
      <c r="D27" s="47">
        <f>'1 lentelė'!E132</f>
        <v>0</v>
      </c>
      <c r="E27" s="47">
        <f>'1 lentelė'!G132</f>
        <v>0</v>
      </c>
      <c r="F27" s="47">
        <f>'1 lentelė'!I132</f>
        <v>0</v>
      </c>
      <c r="G27" s="47">
        <f>'1 lentelė'!K132</f>
        <v>1404711</v>
      </c>
      <c r="H27" s="47">
        <f>'1 lentelė'!M132</f>
        <v>0</v>
      </c>
      <c r="I27" s="47">
        <f>'1 lentelė'!O132</f>
        <v>0</v>
      </c>
      <c r="J27" s="47">
        <f>'1 lentelė'!Q132</f>
        <v>0</v>
      </c>
      <c r="K27" s="47">
        <f t="shared" si="0"/>
        <v>1404711</v>
      </c>
    </row>
    <row r="28" spans="2:11" s="53" customFormat="1" ht="51" hidden="1" x14ac:dyDescent="0.25">
      <c r="B28" s="97" t="s">
        <v>902</v>
      </c>
      <c r="C28" s="47" t="s">
        <v>901</v>
      </c>
      <c r="D28" s="47">
        <v>0</v>
      </c>
      <c r="E28" s="47">
        <v>0</v>
      </c>
      <c r="F28" s="47">
        <v>0</v>
      </c>
      <c r="G28" s="47">
        <v>0</v>
      </c>
      <c r="H28" s="84">
        <f>'1 lentelė'!M137</f>
        <v>576535.25</v>
      </c>
      <c r="I28" s="84">
        <f>'1 lentelė'!O137</f>
        <v>541742.05000000005</v>
      </c>
      <c r="J28" s="84">
        <f>'1 lentelė'!Q137</f>
        <v>0</v>
      </c>
      <c r="K28" s="47">
        <f t="shared" si="0"/>
        <v>1118277.3</v>
      </c>
    </row>
    <row r="29" spans="2:11" s="53" customFormat="1" ht="89.25" hidden="1" x14ac:dyDescent="0.25">
      <c r="B29" s="97" t="s">
        <v>679</v>
      </c>
      <c r="C29" s="47" t="s">
        <v>900</v>
      </c>
      <c r="D29" s="47">
        <f>'1 lentelė'!E146</f>
        <v>0</v>
      </c>
      <c r="E29" s="47">
        <f>'1 lentelė'!G146</f>
        <v>0</v>
      </c>
      <c r="F29" s="47">
        <f>'1 lentelė'!I146</f>
        <v>0</v>
      </c>
      <c r="G29" s="47">
        <f>'1 lentelė'!K146</f>
        <v>0</v>
      </c>
      <c r="H29" s="47">
        <f>'1 lentelė'!M146</f>
        <v>35150.620000000003</v>
      </c>
      <c r="I29" s="47">
        <f>'1 lentelė'!O146</f>
        <v>0</v>
      </c>
      <c r="J29" s="47">
        <f>'1 lentelė'!Q146</f>
        <v>0</v>
      </c>
      <c r="K29" s="47">
        <f t="shared" si="0"/>
        <v>35150.620000000003</v>
      </c>
    </row>
    <row r="30" spans="2:11" s="53" customFormat="1" ht="38.25" hidden="1" x14ac:dyDescent="0.25">
      <c r="B30" s="97" t="s">
        <v>696</v>
      </c>
      <c r="C30" s="47" t="s">
        <v>903</v>
      </c>
      <c r="D30" s="47">
        <f>'1 lentelė'!E154</f>
        <v>0</v>
      </c>
      <c r="E30" s="47">
        <f>'1 lentelė'!G154</f>
        <v>0</v>
      </c>
      <c r="F30" s="47">
        <f>'1 lentelė'!I154</f>
        <v>0</v>
      </c>
      <c r="G30" s="47">
        <f>'1 lentelė'!K154</f>
        <v>0</v>
      </c>
      <c r="H30" s="47">
        <f>'1 lentelė'!M154</f>
        <v>823862.25</v>
      </c>
      <c r="I30" s="47">
        <f>'1 lentelė'!O154</f>
        <v>0</v>
      </c>
      <c r="J30" s="47">
        <f>'1 lentelė'!Q154</f>
        <v>0</v>
      </c>
      <c r="K30" s="47">
        <f t="shared" si="0"/>
        <v>823862.25</v>
      </c>
    </row>
    <row r="31" spans="2:11" s="53" customFormat="1" ht="25.5" hidden="1" x14ac:dyDescent="0.25">
      <c r="B31" s="97" t="s">
        <v>905</v>
      </c>
      <c r="C31" s="47" t="s">
        <v>904</v>
      </c>
      <c r="D31" s="47">
        <f>'1 lentelė'!E162</f>
        <v>0</v>
      </c>
      <c r="E31" s="47">
        <f>'1 lentelė'!G162</f>
        <v>0</v>
      </c>
      <c r="F31" s="47">
        <f>'1 lentelė'!I162</f>
        <v>0</v>
      </c>
      <c r="G31" s="47">
        <f>'1 lentelė'!K162</f>
        <v>43254.8</v>
      </c>
      <c r="H31" s="47">
        <f>'1 lentelė'!M162</f>
        <v>754702.39</v>
      </c>
      <c r="I31" s="47">
        <f>'1 lentelė'!O162</f>
        <v>0</v>
      </c>
      <c r="J31" s="47">
        <f>'1 lentelė'!Q162</f>
        <v>0</v>
      </c>
      <c r="K31" s="47">
        <f t="shared" si="0"/>
        <v>797957.19000000006</v>
      </c>
    </row>
    <row r="32" spans="2:11" s="53" customFormat="1" ht="25.5" hidden="1" x14ac:dyDescent="0.25">
      <c r="B32" s="47" t="s">
        <v>720</v>
      </c>
      <c r="C32" s="47" t="s">
        <v>906</v>
      </c>
      <c r="D32" s="47">
        <f>'1 lentelė'!E167</f>
        <v>0</v>
      </c>
      <c r="E32" s="47">
        <f>'1 lentelė'!G167</f>
        <v>0</v>
      </c>
      <c r="F32" s="47">
        <f>'1 lentelė'!I167</f>
        <v>1830610.27</v>
      </c>
      <c r="G32" s="47">
        <f>'1 lentelė'!K167</f>
        <v>366418</v>
      </c>
      <c r="H32" s="47">
        <f>'1 lentelė'!M167</f>
        <v>0</v>
      </c>
      <c r="I32" s="47">
        <f>'1 lentelė'!O167</f>
        <v>0</v>
      </c>
      <c r="J32" s="47">
        <f>'1 lentelė'!Q167</f>
        <v>0</v>
      </c>
      <c r="K32" s="47">
        <f t="shared" si="0"/>
        <v>2197028.27</v>
      </c>
    </row>
    <row r="33" spans="2:11" s="53" customFormat="1" ht="38.25" hidden="1" x14ac:dyDescent="0.25">
      <c r="B33" s="97" t="s">
        <v>730</v>
      </c>
      <c r="C33" s="47" t="s">
        <v>907</v>
      </c>
      <c r="D33" s="47">
        <f>'1 lentelė'!E175</f>
        <v>0</v>
      </c>
      <c r="E33" s="47">
        <f>'1 lentelė'!G175</f>
        <v>0</v>
      </c>
      <c r="F33" s="47">
        <f>'1 lentelė'!I175</f>
        <v>0</v>
      </c>
      <c r="G33" s="47">
        <f>'1 lentelė'!K175</f>
        <v>4766852.91</v>
      </c>
      <c r="H33" s="47">
        <f>'1 lentelė'!M175</f>
        <v>0</v>
      </c>
      <c r="I33" s="47">
        <f>'1 lentelė'!O175</f>
        <v>0</v>
      </c>
      <c r="J33" s="47">
        <f>'1 lentelė'!Q175</f>
        <v>0</v>
      </c>
      <c r="K33" s="47">
        <f t="shared" si="0"/>
        <v>4766852.91</v>
      </c>
    </row>
    <row r="34" spans="2:11" s="53" customFormat="1" ht="51" hidden="1" x14ac:dyDescent="0.25">
      <c r="B34" s="97" t="s">
        <v>748</v>
      </c>
      <c r="C34" s="47" t="s">
        <v>908</v>
      </c>
      <c r="D34" s="47">
        <f>'1 lentelė'!E183</f>
        <v>0</v>
      </c>
      <c r="E34" s="47">
        <f>'1 lentelė'!G183</f>
        <v>0</v>
      </c>
      <c r="F34" s="47">
        <f>'1 lentelė'!I183</f>
        <v>0</v>
      </c>
      <c r="G34" s="47">
        <f>'1 lentelė'!K183</f>
        <v>350398</v>
      </c>
      <c r="H34" s="47">
        <f>'1 lentelė'!M183</f>
        <v>542093</v>
      </c>
      <c r="I34" s="47">
        <f>'1 lentelė'!O183</f>
        <v>59500</v>
      </c>
      <c r="J34" s="47">
        <f>'1 lentelė'!Q183</f>
        <v>0</v>
      </c>
      <c r="K34" s="47">
        <f t="shared" si="0"/>
        <v>951991</v>
      </c>
    </row>
    <row r="35" spans="2:11" s="53" customFormat="1" x14ac:dyDescent="0.25"/>
    <row r="36" spans="2:11" s="53" customFormat="1" x14ac:dyDescent="0.25"/>
  </sheetData>
  <mergeCells count="3">
    <mergeCell ref="I1:L1"/>
    <mergeCell ref="I2:L2"/>
    <mergeCell ref="I3:L3"/>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G13" sqref="G13:J13"/>
    </sheetView>
  </sheetViews>
  <sheetFormatPr defaultRowHeight="15" x14ac:dyDescent="0.25"/>
  <cols>
    <col min="1" max="1" width="4.42578125" style="5" customWidth="1"/>
    <col min="2" max="3" width="28.28515625" customWidth="1"/>
    <col min="4" max="4" width="11.7109375" customWidth="1"/>
    <col min="5" max="5" width="11.28515625" customWidth="1"/>
    <col min="6" max="6" width="11.42578125" customWidth="1"/>
    <col min="7" max="7" width="11.85546875" customWidth="1"/>
    <col min="8" max="8" width="11.7109375" customWidth="1"/>
    <col min="9" max="9" width="10.140625" customWidth="1"/>
    <col min="10" max="10" width="11.85546875" customWidth="1"/>
  </cols>
  <sheetData>
    <row r="1" spans="2:10" ht="15.75" x14ac:dyDescent="0.25">
      <c r="G1" s="161" t="s">
        <v>140</v>
      </c>
      <c r="H1" s="161"/>
      <c r="I1" s="161"/>
      <c r="J1" s="161"/>
    </row>
    <row r="2" spans="2:10" ht="15.75" x14ac:dyDescent="0.25">
      <c r="G2" s="162" t="s">
        <v>24</v>
      </c>
      <c r="H2" s="162"/>
      <c r="I2" s="162"/>
      <c r="J2" s="162"/>
    </row>
    <row r="3" spans="2:10" ht="15.75" x14ac:dyDescent="0.25">
      <c r="G3" s="162" t="s">
        <v>25</v>
      </c>
      <c r="H3" s="162"/>
      <c r="I3" s="162"/>
      <c r="J3" s="162"/>
    </row>
    <row r="5" spans="2:10" ht="15.75" x14ac:dyDescent="0.25">
      <c r="B5" s="1" t="s">
        <v>80</v>
      </c>
    </row>
    <row r="6" spans="2:10" ht="15.75" x14ac:dyDescent="0.25">
      <c r="B6" s="1" t="s">
        <v>77</v>
      </c>
    </row>
    <row r="7" spans="2:10" ht="15.75" x14ac:dyDescent="0.25">
      <c r="B7" s="19"/>
      <c r="C7" s="20" t="s">
        <v>73</v>
      </c>
      <c r="D7" s="20">
        <v>2014</v>
      </c>
      <c r="E7" s="20">
        <v>2015</v>
      </c>
      <c r="F7" s="20">
        <v>2016</v>
      </c>
      <c r="G7" s="20">
        <v>2017</v>
      </c>
      <c r="H7" s="20">
        <v>2018</v>
      </c>
      <c r="I7" s="20">
        <v>2019</v>
      </c>
      <c r="J7" s="20">
        <v>2020</v>
      </c>
    </row>
    <row r="8" spans="2:10" ht="38.25" x14ac:dyDescent="0.25">
      <c r="B8" s="22" t="s">
        <v>78</v>
      </c>
      <c r="C8" s="22" t="s">
        <v>79</v>
      </c>
      <c r="D8" s="21"/>
      <c r="E8" s="8"/>
      <c r="F8" s="21"/>
      <c r="G8" s="21"/>
      <c r="H8" s="21"/>
      <c r="I8" s="21"/>
      <c r="J8" s="21"/>
    </row>
    <row r="9" spans="2:10" s="87" customFormat="1" hidden="1" x14ac:dyDescent="0.25">
      <c r="B9" s="97" t="s">
        <v>459</v>
      </c>
      <c r="C9" s="97" t="s">
        <v>879</v>
      </c>
      <c r="D9" s="97">
        <f>'5 lentelė'!D9</f>
        <v>0</v>
      </c>
      <c r="E9" s="97">
        <f>'5 lentelė'!E9+'6 lentelė'!D9</f>
        <v>0</v>
      </c>
      <c r="F9" s="97">
        <f>'5 lentelė'!F9+'6 lentelė'!E9</f>
        <v>0</v>
      </c>
      <c r="G9" s="97">
        <f>'5 lentelė'!G9+'6 lentelė'!F9</f>
        <v>4579773.51</v>
      </c>
      <c r="H9" s="97">
        <f>'5 lentelė'!H9+'6 lentelė'!G9</f>
        <v>7988386.1699999999</v>
      </c>
      <c r="I9" s="97">
        <f>'5 lentelė'!I9+'6 lentelė'!H9</f>
        <v>9455845.6699999999</v>
      </c>
      <c r="J9" s="97">
        <f>'5 lentelė'!J9+'6 lentelė'!I9</f>
        <v>9455845.6699999999</v>
      </c>
    </row>
    <row r="10" spans="2:10" ht="25.5" hidden="1" x14ac:dyDescent="0.25">
      <c r="B10" s="97" t="s">
        <v>880</v>
      </c>
      <c r="C10" s="47" t="s">
        <v>881</v>
      </c>
      <c r="D10" s="47">
        <f>'5 lentelė'!D10</f>
        <v>0</v>
      </c>
      <c r="E10" s="47">
        <f>'5 lentelė'!E10+'6 lentelė'!D10</f>
        <v>0</v>
      </c>
      <c r="F10" s="47">
        <f>'5 lentelė'!F10+'6 lentelė'!E10</f>
        <v>0</v>
      </c>
      <c r="G10" s="47">
        <f>'5 lentelė'!G10+'6 lentelė'!F10</f>
        <v>239072</v>
      </c>
      <c r="H10" s="47">
        <f>'5 lentelė'!H10+'6 lentelė'!G10</f>
        <v>239072</v>
      </c>
      <c r="I10" s="47">
        <f>'5 lentelė'!I10+'6 lentelė'!H10</f>
        <v>239072</v>
      </c>
      <c r="J10" s="47">
        <f>'5 lentelė'!J10+'6 lentelė'!I10</f>
        <v>239072</v>
      </c>
    </row>
    <row r="11" spans="2:10" ht="25.5" hidden="1" x14ac:dyDescent="0.25">
      <c r="B11" s="97" t="s">
        <v>882</v>
      </c>
      <c r="C11" s="47" t="s">
        <v>884</v>
      </c>
      <c r="D11" s="47">
        <f>'5 lentelė'!D11</f>
        <v>0</v>
      </c>
      <c r="E11" s="47">
        <f>'5 lentelė'!E11+'6 lentelė'!D11</f>
        <v>0</v>
      </c>
      <c r="F11" s="47">
        <f>'5 lentelė'!F11+'6 lentelė'!E11</f>
        <v>2202415.2800000003</v>
      </c>
      <c r="G11" s="47">
        <f>'5 lentelė'!G11+'6 lentelė'!F11</f>
        <v>2202415.2800000003</v>
      </c>
      <c r="H11" s="47">
        <f>'5 lentelė'!H11+'6 lentelė'!G11</f>
        <v>2202415.2800000003</v>
      </c>
      <c r="I11" s="47">
        <f>'5 lentelė'!I11+'6 lentelė'!H11</f>
        <v>2202415.2800000003</v>
      </c>
      <c r="J11" s="47">
        <f>'5 lentelė'!J11+'6 lentelė'!I11</f>
        <v>2202415.2800000003</v>
      </c>
    </row>
    <row r="12" spans="2:10" ht="25.5" hidden="1" x14ac:dyDescent="0.25">
      <c r="B12" s="97" t="s">
        <v>535</v>
      </c>
      <c r="C12" s="47" t="s">
        <v>883</v>
      </c>
      <c r="D12" s="47">
        <f>'5 lentelė'!D12</f>
        <v>0</v>
      </c>
      <c r="E12" s="47">
        <f>'5 lentelė'!E12+'6 lentelė'!D12</f>
        <v>0</v>
      </c>
      <c r="F12" s="47">
        <f>'5 lentelė'!F12+'6 lentelė'!E12</f>
        <v>0</v>
      </c>
      <c r="G12" s="47">
        <f>'5 lentelė'!G12+'6 lentelė'!F12</f>
        <v>769018</v>
      </c>
      <c r="H12" s="47">
        <f>'5 lentelė'!H12+'6 lentelė'!G12</f>
        <v>769018</v>
      </c>
      <c r="I12" s="47">
        <f>'5 lentelė'!I12+'6 lentelė'!H12</f>
        <v>769018</v>
      </c>
      <c r="J12" s="47">
        <f>'5 lentelė'!J12+'6 lentelė'!I12</f>
        <v>769018</v>
      </c>
    </row>
    <row r="13" spans="2:10" x14ac:dyDescent="0.25">
      <c r="B13" s="97" t="s">
        <v>540</v>
      </c>
      <c r="C13" s="47" t="s">
        <v>885</v>
      </c>
      <c r="D13" s="47">
        <f>'5 lentelė'!D13</f>
        <v>0</v>
      </c>
      <c r="E13" s="47">
        <f>'5 lentelė'!E13+'6 lentelė'!D13</f>
        <v>0</v>
      </c>
      <c r="F13" s="47">
        <f>'5 lentelė'!F13+'6 lentelė'!E13</f>
        <v>0</v>
      </c>
      <c r="G13" s="47">
        <f>'5 lentelė'!G13+'6 lentelė'!F13</f>
        <v>1057912.3600000001</v>
      </c>
      <c r="H13" s="47">
        <f>'5 lentelė'!H13+'6 lentelė'!G13</f>
        <v>2077658.52</v>
      </c>
      <c r="I13" s="47">
        <f>'5 lentelė'!I13+'6 lentelė'!H13</f>
        <v>3403720.8899999997</v>
      </c>
      <c r="J13" s="47">
        <f>'5 lentelė'!J13+'6 lentelė'!I13</f>
        <v>3840118.9299999997</v>
      </c>
    </row>
    <row r="14" spans="2:10" ht="25.5" hidden="1" x14ac:dyDescent="0.25">
      <c r="B14" s="97" t="s">
        <v>559</v>
      </c>
      <c r="C14" s="47" t="s">
        <v>886</v>
      </c>
      <c r="D14" s="47">
        <f>'5 lentelė'!D14</f>
        <v>0</v>
      </c>
      <c r="E14" s="47">
        <f>'5 lentelė'!E14+'6 lentelė'!D14</f>
        <v>0</v>
      </c>
      <c r="F14" s="47">
        <f>'5 lentelė'!F14+'6 lentelė'!E14</f>
        <v>0</v>
      </c>
      <c r="G14" s="47">
        <f>'5 lentelė'!G14+'6 lentelė'!F14</f>
        <v>0</v>
      </c>
      <c r="H14" s="47">
        <f>'5 lentelė'!H14+'6 lentelė'!G14</f>
        <v>308052</v>
      </c>
      <c r="I14" s="47">
        <f>'5 lentelė'!I14+'6 lentelė'!H14</f>
        <v>395552</v>
      </c>
      <c r="J14" s="47">
        <f>'5 lentelė'!J14+'6 lentelė'!I14</f>
        <v>395552</v>
      </c>
    </row>
    <row r="15" spans="2:10" ht="25.5" hidden="1" x14ac:dyDescent="0.25">
      <c r="B15" s="97" t="s">
        <v>567</v>
      </c>
      <c r="C15" s="47" t="s">
        <v>887</v>
      </c>
      <c r="D15" s="47">
        <f>'5 lentelė'!D15</f>
        <v>0</v>
      </c>
      <c r="E15" s="47">
        <f>'5 lentelė'!E15+'6 lentelė'!D15</f>
        <v>0</v>
      </c>
      <c r="F15" s="47">
        <f>'5 lentelė'!F15+'6 lentelė'!E15</f>
        <v>0</v>
      </c>
      <c r="G15" s="47">
        <f>'5 lentelė'!G15+'6 lentelė'!F15</f>
        <v>0</v>
      </c>
      <c r="H15" s="47">
        <f>'5 lentelė'!H15+'6 lentelė'!G15</f>
        <v>0</v>
      </c>
      <c r="I15" s="47">
        <f>'5 lentelė'!I15+'6 lentelė'!H15</f>
        <v>1210838</v>
      </c>
      <c r="J15" s="97">
        <f>'5 lentelė'!J15+'6 lentelė'!I15</f>
        <v>1210838</v>
      </c>
    </row>
    <row r="16" spans="2:10" hidden="1" x14ac:dyDescent="0.25">
      <c r="B16" s="97" t="s">
        <v>568</v>
      </c>
      <c r="C16" s="47" t="s">
        <v>888</v>
      </c>
      <c r="D16" s="47">
        <f>'5 lentelė'!D16</f>
        <v>0</v>
      </c>
      <c r="E16" s="47">
        <f>'5 lentelė'!E16+'6 lentelė'!D16</f>
        <v>0</v>
      </c>
      <c r="F16" s="47">
        <f>'5 lentelė'!F16+'6 lentelė'!E16</f>
        <v>42500</v>
      </c>
      <c r="G16" s="47">
        <f>'5 lentelė'!G16+'6 lentelė'!F16</f>
        <v>55845</v>
      </c>
      <c r="H16" s="47">
        <f>'5 lentelė'!H16+'6 lentelė'!G16</f>
        <v>55845</v>
      </c>
      <c r="I16" s="47">
        <f>'5 lentelė'!I16+'6 lentelė'!H16</f>
        <v>55845</v>
      </c>
      <c r="J16" s="97">
        <f>'5 lentelė'!J16+'6 lentelė'!I16</f>
        <v>55845</v>
      </c>
    </row>
    <row r="17" spans="2:10" ht="38.25" hidden="1" x14ac:dyDescent="0.25">
      <c r="B17" s="97" t="s">
        <v>579</v>
      </c>
      <c r="C17" s="47" t="s">
        <v>889</v>
      </c>
      <c r="D17" s="47">
        <f>'5 lentelė'!D17</f>
        <v>0</v>
      </c>
      <c r="E17" s="47">
        <f>'5 lentelė'!E17+'6 lentelė'!D17</f>
        <v>0</v>
      </c>
      <c r="F17" s="47">
        <f>'5 lentelė'!F17+'6 lentelė'!E17</f>
        <v>0</v>
      </c>
      <c r="G17" s="47">
        <f>'5 lentelė'!G17+'6 lentelė'!F17</f>
        <v>0</v>
      </c>
      <c r="H17" s="47">
        <f>'5 lentelė'!H17+'6 lentelė'!G17</f>
        <v>0</v>
      </c>
      <c r="I17" s="47">
        <f>'5 lentelė'!I17+'6 lentelė'!H17</f>
        <v>691815</v>
      </c>
      <c r="J17" s="97">
        <f>'5 lentelė'!J17+'6 lentelė'!I17</f>
        <v>691815</v>
      </c>
    </row>
    <row r="18" spans="2:10" ht="25.5" hidden="1" x14ac:dyDescent="0.25">
      <c r="B18" s="97" t="s">
        <v>583</v>
      </c>
      <c r="C18" s="47" t="s">
        <v>890</v>
      </c>
      <c r="D18" s="47">
        <f>'5 lentelė'!D18</f>
        <v>0</v>
      </c>
      <c r="E18" s="47">
        <f>'5 lentelė'!E18+'6 lentelė'!D18</f>
        <v>0</v>
      </c>
      <c r="F18" s="47">
        <f>'5 lentelė'!F18+'6 lentelė'!E18</f>
        <v>0</v>
      </c>
      <c r="G18" s="47">
        <f>'5 lentelė'!G18+'6 lentelė'!F18</f>
        <v>1180721</v>
      </c>
      <c r="H18" s="47">
        <f>'5 lentelė'!H18+'6 lentelė'!G18</f>
        <v>1180721</v>
      </c>
      <c r="I18" s="47">
        <f>'5 lentelė'!I18+'6 lentelė'!H18</f>
        <v>1180721</v>
      </c>
      <c r="J18" s="97">
        <f>'5 lentelė'!J18+'6 lentelė'!I18</f>
        <v>1180721</v>
      </c>
    </row>
    <row r="19" spans="2:10" ht="38.25" hidden="1" x14ac:dyDescent="0.25">
      <c r="B19" s="97" t="s">
        <v>891</v>
      </c>
      <c r="C19" s="47" t="s">
        <v>892</v>
      </c>
      <c r="D19" s="47">
        <f>'5 lentelė'!D19</f>
        <v>0</v>
      </c>
      <c r="E19" s="47">
        <f>'5 lentelė'!E19+'6 lentelė'!D19</f>
        <v>0</v>
      </c>
      <c r="F19" s="47">
        <f>'5 lentelė'!F19+'6 lentelė'!E19</f>
        <v>0</v>
      </c>
      <c r="G19" s="47">
        <f>'5 lentelė'!G19+'6 lentelė'!F19</f>
        <v>253936.88</v>
      </c>
      <c r="H19" s="47">
        <f>'5 lentelė'!H19+'6 lentelė'!G19</f>
        <v>253936.88</v>
      </c>
      <c r="I19" s="47">
        <f>'5 lentelė'!I19+'6 lentelė'!H19</f>
        <v>544242.71</v>
      </c>
      <c r="J19" s="97">
        <f>'5 lentelė'!J19+'6 lentelė'!I19</f>
        <v>544242.71</v>
      </c>
    </row>
    <row r="20" spans="2:10" s="87" customFormat="1" ht="51" hidden="1" x14ac:dyDescent="0.25">
      <c r="B20" s="97" t="s">
        <v>608</v>
      </c>
      <c r="C20" s="97" t="s">
        <v>893</v>
      </c>
      <c r="D20" s="97">
        <f>'5 lentelė'!D20</f>
        <v>0</v>
      </c>
      <c r="E20" s="97">
        <f>'5 lentelė'!E20+'6 lentelė'!D20</f>
        <v>0</v>
      </c>
      <c r="F20" s="97">
        <f>'5 lentelė'!F20+'6 lentelė'!E20</f>
        <v>6050727.4300000006</v>
      </c>
      <c r="G20" s="97">
        <f>'5 lentelė'!G20+'6 lentelė'!F20</f>
        <v>6874561.830000001</v>
      </c>
      <c r="H20" s="97">
        <f>'5 lentelė'!H20+'6 lentelė'!G20</f>
        <v>6874561.830000001</v>
      </c>
      <c r="I20" s="97">
        <f>'5 lentelė'!I20+'6 lentelė'!H20</f>
        <v>8769932.0200000014</v>
      </c>
      <c r="J20" s="97">
        <f>'5 lentelė'!J20+'6 lentelė'!I20</f>
        <v>8769932.0200000014</v>
      </c>
    </row>
    <row r="21" spans="2:10" ht="25.5" hidden="1" x14ac:dyDescent="0.25">
      <c r="B21" s="97" t="s">
        <v>621</v>
      </c>
      <c r="C21" s="47" t="s">
        <v>894</v>
      </c>
      <c r="D21" s="47">
        <f>'5 lentelė'!D21</f>
        <v>0</v>
      </c>
      <c r="E21" s="47">
        <f>'5 lentelė'!E21+'6 lentelė'!D21</f>
        <v>0</v>
      </c>
      <c r="F21" s="47">
        <f>'5 lentelė'!F21+'6 lentelė'!E21</f>
        <v>0</v>
      </c>
      <c r="G21" s="47">
        <f>'5 lentelė'!G21+'6 lentelė'!F21</f>
        <v>1745596.94</v>
      </c>
      <c r="H21" s="47">
        <f>'5 lentelė'!H21+'6 lentelė'!G21</f>
        <v>1745596.94</v>
      </c>
      <c r="I21" s="47">
        <f>'5 lentelė'!I21+'6 lentelė'!H21</f>
        <v>1745596.94</v>
      </c>
      <c r="J21" s="47">
        <f>'5 lentelė'!J21+'6 lentelė'!I21</f>
        <v>1745596.94</v>
      </c>
    </row>
    <row r="22" spans="2:10" ht="25.5" hidden="1" x14ac:dyDescent="0.25">
      <c r="B22" s="97" t="s">
        <v>626</v>
      </c>
      <c r="C22" s="47" t="s">
        <v>895</v>
      </c>
      <c r="D22" s="47">
        <f>'5 lentelė'!D22</f>
        <v>0</v>
      </c>
      <c r="E22" s="47">
        <f>'5 lentelė'!E22+'6 lentelė'!D22</f>
        <v>0</v>
      </c>
      <c r="F22" s="47">
        <f>'5 lentelė'!F22+'6 lentelė'!E22</f>
        <v>0</v>
      </c>
      <c r="G22" s="47">
        <f>'5 lentelė'!G22+'6 lentelė'!F22</f>
        <v>2832116.82</v>
      </c>
      <c r="H22" s="47">
        <f>'5 lentelė'!H22+'6 lentelė'!G22</f>
        <v>2832116.82</v>
      </c>
      <c r="I22" s="47">
        <f>'5 lentelė'!I22+'6 lentelė'!H22</f>
        <v>2832116.82</v>
      </c>
      <c r="J22" s="47">
        <f>'5 lentelė'!J22+'6 lentelė'!I22</f>
        <v>2832116.82</v>
      </c>
    </row>
    <row r="23" spans="2:10" s="87" customFormat="1" hidden="1" x14ac:dyDescent="0.25">
      <c r="B23" s="97" t="s">
        <v>641</v>
      </c>
      <c r="C23" s="97" t="s">
        <v>896</v>
      </c>
      <c r="D23" s="97">
        <f>'5 lentelė'!D23</f>
        <v>0</v>
      </c>
      <c r="E23" s="97">
        <f>'5 lentelė'!E23+'6 lentelė'!D23</f>
        <v>0</v>
      </c>
      <c r="F23" s="97">
        <f>'5 lentelė'!F23+'6 lentelė'!E23</f>
        <v>203010.14</v>
      </c>
      <c r="G23" s="97">
        <f>'5 lentelė'!G23+'6 lentelė'!F23</f>
        <v>1578880.98</v>
      </c>
      <c r="H23" s="97">
        <f>'5 lentelė'!H23+'6 lentelė'!G23</f>
        <v>1945271.04</v>
      </c>
      <c r="I23" s="97">
        <f>'5 lentelė'!I23+'6 lentelė'!H23</f>
        <v>2964442.04</v>
      </c>
      <c r="J23" s="97">
        <f>'5 lentelė'!J23+'6 lentelė'!I23</f>
        <v>2964442.04</v>
      </c>
    </row>
    <row r="24" spans="2:10" hidden="1" x14ac:dyDescent="0.25">
      <c r="B24" s="97" t="s">
        <v>937</v>
      </c>
      <c r="C24" s="47" t="s">
        <v>939</v>
      </c>
      <c r="D24" s="47">
        <f>'5 lentelė'!D24</f>
        <v>0</v>
      </c>
      <c r="E24" s="47">
        <f>'5 lentelė'!E24+'6 lentelė'!D24</f>
        <v>0</v>
      </c>
      <c r="F24" s="47">
        <f>'5 lentelė'!F24+'6 lentelė'!E24</f>
        <v>0</v>
      </c>
      <c r="G24" s="47">
        <f>'5 lentelė'!G24+'6 lentelė'!F24</f>
        <v>0</v>
      </c>
      <c r="H24" s="47">
        <f>'5 lentelė'!H24+'6 lentelė'!G24</f>
        <v>1737720</v>
      </c>
      <c r="I24" s="47">
        <f>'5 lentelė'!I24+'6 lentelė'!H24</f>
        <v>1737720</v>
      </c>
      <c r="J24" s="47">
        <f>'5 lentelė'!J24+'6 lentelė'!I24</f>
        <v>1737720</v>
      </c>
    </row>
    <row r="25" spans="2:10" ht="25.5" hidden="1" x14ac:dyDescent="0.25">
      <c r="B25" s="97" t="s">
        <v>661</v>
      </c>
      <c r="C25" s="47" t="s">
        <v>897</v>
      </c>
      <c r="D25" s="47">
        <f>'5 lentelė'!D25</f>
        <v>0</v>
      </c>
      <c r="E25" s="47">
        <f>'5 lentelė'!E25+'6 lentelė'!D25</f>
        <v>0</v>
      </c>
      <c r="F25" s="47">
        <f>'5 lentelė'!F25+'6 lentelė'!E25</f>
        <v>0</v>
      </c>
      <c r="G25" s="47">
        <f>'5 lentelė'!G25+'6 lentelė'!F25</f>
        <v>0</v>
      </c>
      <c r="H25" s="47">
        <f>'5 lentelė'!H25+'6 lentelė'!G25</f>
        <v>560529</v>
      </c>
      <c r="I25" s="47">
        <f>'5 lentelė'!I25+'6 lentelė'!H25</f>
        <v>560529</v>
      </c>
      <c r="J25" s="47">
        <f>'5 lentelė'!J25+'6 lentelė'!I25</f>
        <v>560529</v>
      </c>
    </row>
    <row r="26" spans="2:10" ht="25.5" hidden="1" x14ac:dyDescent="0.25">
      <c r="B26" s="97" t="s">
        <v>666</v>
      </c>
      <c r="C26" s="47" t="s">
        <v>898</v>
      </c>
      <c r="D26" s="47">
        <f>'5 lentelė'!D26</f>
        <v>0</v>
      </c>
      <c r="E26" s="47">
        <f>'5 lentelė'!E26+'6 lentelė'!D26</f>
        <v>0</v>
      </c>
      <c r="F26" s="47">
        <f>'5 lentelė'!F26+'6 lentelė'!E26</f>
        <v>0</v>
      </c>
      <c r="G26" s="47">
        <f>'5 lentelė'!G26+'6 lentelė'!F26</f>
        <v>830529</v>
      </c>
      <c r="H26" s="47">
        <f>'5 lentelė'!H26+'6 lentelė'!G26</f>
        <v>830529</v>
      </c>
      <c r="I26" s="47">
        <f>'5 lentelė'!I26+'6 lentelė'!H26</f>
        <v>830529</v>
      </c>
      <c r="J26" s="47">
        <f>'5 lentelė'!J26+'6 lentelė'!I26</f>
        <v>830529</v>
      </c>
    </row>
    <row r="27" spans="2:10" ht="25.5" hidden="1" x14ac:dyDescent="0.25">
      <c r="B27" s="97" t="s">
        <v>673</v>
      </c>
      <c r="C27" s="47" t="s">
        <v>899</v>
      </c>
      <c r="D27" s="47">
        <f>'5 lentelė'!D27</f>
        <v>0</v>
      </c>
      <c r="E27" s="47">
        <f>'5 lentelė'!E27+'6 lentelė'!D27</f>
        <v>0</v>
      </c>
      <c r="F27" s="47">
        <f>'5 lentelė'!F27+'6 lentelė'!E27</f>
        <v>0</v>
      </c>
      <c r="G27" s="47">
        <f>'5 lentelė'!G27+'6 lentelė'!F27</f>
        <v>1404711</v>
      </c>
      <c r="H27" s="47">
        <f>'5 lentelė'!H27+'6 lentelė'!G27</f>
        <v>1404711</v>
      </c>
      <c r="I27" s="47">
        <f>'5 lentelė'!I27+'6 lentelė'!H27</f>
        <v>1404711</v>
      </c>
      <c r="J27" s="47">
        <f>'5 lentelė'!J27+'6 lentelė'!I27</f>
        <v>1404711</v>
      </c>
    </row>
    <row r="28" spans="2:10" ht="38.25" hidden="1" x14ac:dyDescent="0.25">
      <c r="B28" s="97" t="s">
        <v>902</v>
      </c>
      <c r="C28" s="47" t="s">
        <v>901</v>
      </c>
      <c r="D28" s="47">
        <f>'5 lentelė'!D28</f>
        <v>0</v>
      </c>
      <c r="E28" s="47">
        <f>'5 lentelė'!E28+'6 lentelė'!D28</f>
        <v>0</v>
      </c>
      <c r="F28" s="47">
        <f>'5 lentelė'!F28+'6 lentelė'!E28</f>
        <v>0</v>
      </c>
      <c r="G28" s="47">
        <f>'5 lentelė'!G28+'6 lentelė'!F28</f>
        <v>0</v>
      </c>
      <c r="H28" s="47">
        <f>'5 lentelė'!H28+'6 lentelė'!G28</f>
        <v>576535.25</v>
      </c>
      <c r="I28" s="47">
        <f>'5 lentelė'!I28+'6 lentelė'!H28</f>
        <v>1118277.3</v>
      </c>
      <c r="J28" s="47">
        <f>'5 lentelė'!J28+'6 lentelė'!I28</f>
        <v>1118277.3</v>
      </c>
    </row>
    <row r="29" spans="2:10" ht="63.75" hidden="1" x14ac:dyDescent="0.25">
      <c r="B29" s="97" t="s">
        <v>679</v>
      </c>
      <c r="C29" s="47" t="s">
        <v>900</v>
      </c>
      <c r="D29" s="47">
        <f>'5 lentelė'!D29</f>
        <v>0</v>
      </c>
      <c r="E29" s="47">
        <f>'5 lentelė'!E29+'6 lentelė'!D29</f>
        <v>0</v>
      </c>
      <c r="F29" s="47">
        <f>'5 lentelė'!F29+'6 lentelė'!E29</f>
        <v>0</v>
      </c>
      <c r="G29" s="47">
        <f>'5 lentelė'!G29+'6 lentelė'!F29</f>
        <v>0</v>
      </c>
      <c r="H29" s="47">
        <f>'5 lentelė'!H29+'6 lentelė'!G29</f>
        <v>35150.620000000003</v>
      </c>
      <c r="I29" s="47">
        <f>'5 lentelė'!I29+'6 lentelė'!H29</f>
        <v>35150.620000000003</v>
      </c>
      <c r="J29" s="47">
        <f>'5 lentelė'!J29+'6 lentelė'!I29</f>
        <v>35150.620000000003</v>
      </c>
    </row>
    <row r="30" spans="2:10" ht="25.5" hidden="1" x14ac:dyDescent="0.25">
      <c r="B30" s="97" t="s">
        <v>696</v>
      </c>
      <c r="C30" s="47" t="s">
        <v>903</v>
      </c>
      <c r="D30" s="47">
        <f>'5 lentelė'!D30</f>
        <v>0</v>
      </c>
      <c r="E30" s="47">
        <f>'5 lentelė'!E30+'6 lentelė'!D30</f>
        <v>0</v>
      </c>
      <c r="F30" s="47">
        <f>'5 lentelė'!F30+'6 lentelė'!E30</f>
        <v>0</v>
      </c>
      <c r="G30" s="47">
        <f>'5 lentelė'!G30+'6 lentelė'!F30</f>
        <v>0</v>
      </c>
      <c r="H30" s="47">
        <f>'5 lentelė'!H30+'6 lentelė'!G30</f>
        <v>823862.25</v>
      </c>
      <c r="I30" s="47">
        <f>'5 lentelė'!I30+'6 lentelė'!H30</f>
        <v>823862.25</v>
      </c>
      <c r="J30" s="47">
        <f>'5 lentelė'!J30+'6 lentelė'!I30</f>
        <v>823862.25</v>
      </c>
    </row>
    <row r="31" spans="2:10" ht="25.5" hidden="1" x14ac:dyDescent="0.25">
      <c r="B31" s="97" t="s">
        <v>905</v>
      </c>
      <c r="C31" s="47" t="s">
        <v>904</v>
      </c>
      <c r="D31" s="47">
        <f>'5 lentelė'!D31</f>
        <v>0</v>
      </c>
      <c r="E31" s="47">
        <f>'5 lentelė'!E31+'6 lentelė'!D31</f>
        <v>0</v>
      </c>
      <c r="F31" s="47">
        <f>'5 lentelė'!F31+'6 lentelė'!E31</f>
        <v>0</v>
      </c>
      <c r="G31" s="47">
        <f>'5 lentelė'!G31+'6 lentelė'!F31</f>
        <v>43254.8</v>
      </c>
      <c r="H31" s="47">
        <f>'5 lentelė'!H31+'6 lentelė'!G31</f>
        <v>797957.19000000006</v>
      </c>
      <c r="I31" s="47">
        <f>'5 lentelė'!I31+'6 lentelė'!H31</f>
        <v>797957.19000000006</v>
      </c>
      <c r="J31" s="47">
        <f>'5 lentelė'!J31+'6 lentelė'!I31</f>
        <v>797957.19000000006</v>
      </c>
    </row>
    <row r="32" spans="2:10" hidden="1" x14ac:dyDescent="0.25">
      <c r="B32" s="97" t="s">
        <v>720</v>
      </c>
      <c r="C32" s="47" t="s">
        <v>906</v>
      </c>
      <c r="D32" s="47">
        <f>'5 lentelė'!D32</f>
        <v>0</v>
      </c>
      <c r="E32" s="47">
        <f>'5 lentelė'!E32+'6 lentelė'!D32</f>
        <v>0</v>
      </c>
      <c r="F32" s="47">
        <f>'5 lentelė'!F32+'6 lentelė'!E32</f>
        <v>1830610.27</v>
      </c>
      <c r="G32" s="47">
        <f>'5 lentelė'!G32+'6 lentelė'!F32</f>
        <v>2197028.27</v>
      </c>
      <c r="H32" s="47">
        <f>'5 lentelė'!H32+'6 lentelė'!G32</f>
        <v>2197028.27</v>
      </c>
      <c r="I32" s="47">
        <f>'5 lentelė'!I32+'6 lentelė'!H32</f>
        <v>2197028.27</v>
      </c>
      <c r="J32" s="47">
        <f>'5 lentelė'!J32+'6 lentelė'!I32</f>
        <v>2197028.27</v>
      </c>
    </row>
    <row r="33" spans="2:10" ht="25.5" hidden="1" x14ac:dyDescent="0.25">
      <c r="B33" s="97" t="s">
        <v>730</v>
      </c>
      <c r="C33" s="47" t="s">
        <v>907</v>
      </c>
      <c r="D33" s="47">
        <f>'5 lentelė'!D33</f>
        <v>0</v>
      </c>
      <c r="E33" s="47">
        <f>'5 lentelė'!E33+'6 lentelė'!D33</f>
        <v>0</v>
      </c>
      <c r="F33" s="47">
        <f>'5 lentelė'!F33+'6 lentelė'!E33</f>
        <v>0</v>
      </c>
      <c r="G33" s="47">
        <f>'5 lentelė'!G33+'6 lentelė'!F33</f>
        <v>4766852.91</v>
      </c>
      <c r="H33" s="47">
        <f>'5 lentelė'!H33+'6 lentelė'!G33</f>
        <v>4766852.91</v>
      </c>
      <c r="I33" s="47">
        <f>'5 lentelė'!I33+'6 lentelė'!H33</f>
        <v>4766852.91</v>
      </c>
      <c r="J33" s="47">
        <f>'5 lentelė'!J33+'6 lentelė'!I33</f>
        <v>4766852.91</v>
      </c>
    </row>
    <row r="34" spans="2:10" ht="25.5" hidden="1" x14ac:dyDescent="0.25">
      <c r="B34" s="99" t="s">
        <v>748</v>
      </c>
      <c r="C34" s="22" t="s">
        <v>908</v>
      </c>
      <c r="D34" s="22">
        <f>'5 lentelė'!D34</f>
        <v>0</v>
      </c>
      <c r="E34" s="22">
        <f>'5 lentelė'!E34+'6 lentelė'!D34</f>
        <v>0</v>
      </c>
      <c r="F34" s="22">
        <f>'5 lentelė'!F34+'6 lentelė'!E34</f>
        <v>0</v>
      </c>
      <c r="G34" s="22">
        <f>'5 lentelė'!G34+'6 lentelė'!F34</f>
        <v>350398</v>
      </c>
      <c r="H34" s="22">
        <f>'5 lentelė'!H34+'6 lentelė'!G34</f>
        <v>892491</v>
      </c>
      <c r="I34" s="22">
        <f>'5 lentelė'!I34+'6 lentelė'!H34</f>
        <v>951991</v>
      </c>
      <c r="J34" s="22">
        <f>'5 lentelė'!J34+'6 lentelė'!I34</f>
        <v>951991</v>
      </c>
    </row>
  </sheetData>
  <mergeCells count="3">
    <mergeCell ref="G1:J1"/>
    <mergeCell ref="G2:J2"/>
    <mergeCell ref="G3:J3"/>
  </mergeCells>
  <pageMargins left="0.7" right="0.7" top="0.75" bottom="0.75" header="0.3" footer="0.3"/>
  <pageSetup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zoomScale="90" zoomScaleNormal="90" workbookViewId="0">
      <selection activeCell="E68" sqref="E68"/>
    </sheetView>
  </sheetViews>
  <sheetFormatPr defaultRowHeight="15" x14ac:dyDescent="0.25"/>
  <cols>
    <col min="1" max="1" width="5" style="5" customWidth="1"/>
    <col min="3" max="3" width="74.140625" customWidth="1"/>
    <col min="4" max="4" width="28.42578125" customWidth="1"/>
    <col min="5" max="5" width="35.42578125" customWidth="1"/>
    <col min="6" max="6" width="34.7109375" customWidth="1"/>
    <col min="8" max="8" width="11.5703125" bestFit="1" customWidth="1"/>
  </cols>
  <sheetData>
    <row r="1" spans="2:8" ht="15.75" x14ac:dyDescent="0.25">
      <c r="B1" s="53"/>
      <c r="C1" s="53"/>
      <c r="D1" s="53"/>
      <c r="E1" s="174" t="s">
        <v>140</v>
      </c>
      <c r="F1" s="174"/>
      <c r="G1" s="174"/>
      <c r="H1" s="174"/>
    </row>
    <row r="2" spans="2:8" ht="15.75" x14ac:dyDescent="0.25">
      <c r="B2" s="53"/>
      <c r="C2" s="53"/>
      <c r="D2" s="53"/>
      <c r="E2" s="175" t="s">
        <v>24</v>
      </c>
      <c r="F2" s="175"/>
      <c r="G2" s="175"/>
      <c r="H2" s="175"/>
    </row>
    <row r="3" spans="2:8" ht="15.75" x14ac:dyDescent="0.25">
      <c r="B3" s="53"/>
      <c r="C3" s="53"/>
      <c r="D3" s="53"/>
      <c r="E3" s="175" t="s">
        <v>25</v>
      </c>
      <c r="F3" s="175"/>
      <c r="G3" s="175"/>
      <c r="H3" s="175"/>
    </row>
    <row r="4" spans="2:8" x14ac:dyDescent="0.25">
      <c r="B4" s="53"/>
      <c r="C4" s="53"/>
      <c r="D4" s="53"/>
      <c r="E4" s="53"/>
      <c r="F4" s="53"/>
      <c r="G4" s="53"/>
      <c r="H4" s="53"/>
    </row>
    <row r="5" spans="2:8" x14ac:dyDescent="0.25">
      <c r="B5" s="53"/>
      <c r="C5" s="53"/>
      <c r="D5" s="53"/>
      <c r="E5" s="53"/>
      <c r="F5" s="53"/>
      <c r="G5" s="53"/>
      <c r="H5" s="53"/>
    </row>
    <row r="6" spans="2:8" ht="15.75" x14ac:dyDescent="0.25">
      <c r="B6" s="64" t="s">
        <v>134</v>
      </c>
      <c r="C6" s="53"/>
      <c r="D6" s="53"/>
      <c r="E6" s="53"/>
      <c r="F6" s="53"/>
      <c r="G6" s="53"/>
      <c r="H6" s="53"/>
    </row>
    <row r="7" spans="2:8" ht="78" customHeight="1" x14ac:dyDescent="0.25">
      <c r="B7" s="67" t="s">
        <v>71</v>
      </c>
      <c r="C7" s="67" t="s">
        <v>81</v>
      </c>
      <c r="D7" s="67" t="s">
        <v>137</v>
      </c>
      <c r="E7" s="67" t="s">
        <v>82</v>
      </c>
      <c r="F7" s="67" t="s">
        <v>83</v>
      </c>
      <c r="G7" s="53"/>
      <c r="H7" s="137"/>
    </row>
    <row r="8" spans="2:8" ht="15" hidden="1" customHeight="1" x14ac:dyDescent="0.25">
      <c r="B8" s="47">
        <v>1</v>
      </c>
      <c r="C8" s="58" t="s">
        <v>84</v>
      </c>
      <c r="D8" s="59">
        <v>0</v>
      </c>
      <c r="E8" s="59">
        <v>0</v>
      </c>
      <c r="F8" s="58">
        <v>0</v>
      </c>
      <c r="G8" s="53"/>
      <c r="H8" s="53"/>
    </row>
    <row r="9" spans="2:8" ht="17.25" hidden="1" customHeight="1" x14ac:dyDescent="0.25">
      <c r="B9" s="47">
        <v>2</v>
      </c>
      <c r="C9" s="58" t="s">
        <v>85</v>
      </c>
      <c r="D9" s="59">
        <v>0</v>
      </c>
      <c r="E9" s="59">
        <v>0</v>
      </c>
      <c r="F9" s="58">
        <v>0</v>
      </c>
      <c r="G9" s="53"/>
      <c r="H9" s="53"/>
    </row>
    <row r="10" spans="2:8" hidden="1" x14ac:dyDescent="0.25">
      <c r="B10" s="47">
        <v>3</v>
      </c>
      <c r="C10" s="58" t="s">
        <v>86</v>
      </c>
      <c r="D10" s="59">
        <v>0</v>
      </c>
      <c r="E10" s="59">
        <v>0</v>
      </c>
      <c r="F10" s="58">
        <v>0</v>
      </c>
      <c r="G10" s="53"/>
      <c r="H10" s="53"/>
    </row>
    <row r="11" spans="2:8" hidden="1" x14ac:dyDescent="0.25">
      <c r="B11" s="47">
        <v>4</v>
      </c>
      <c r="C11" s="58" t="s">
        <v>87</v>
      </c>
      <c r="D11" s="59">
        <v>1</v>
      </c>
      <c r="E11" s="59">
        <v>0</v>
      </c>
      <c r="F11" s="58">
        <v>0</v>
      </c>
      <c r="G11" s="53"/>
      <c r="H11" s="53"/>
    </row>
    <row r="12" spans="2:8" hidden="1" x14ac:dyDescent="0.25">
      <c r="B12" s="47">
        <v>5</v>
      </c>
      <c r="C12" s="58" t="s">
        <v>88</v>
      </c>
      <c r="D12" s="59">
        <v>6</v>
      </c>
      <c r="E12" s="59">
        <v>6</v>
      </c>
      <c r="F12" s="58">
        <f>'2 lentelė'!Q96+'2 lentelė'!Q97+'2 lentelė'!Q98+'2 lentelė'!Q99+'2 lentelė'!Q100+'2 lentelė'!Q101</f>
        <v>2832116.82</v>
      </c>
      <c r="G12" s="53"/>
      <c r="H12" s="53"/>
    </row>
    <row r="13" spans="2:8" hidden="1" x14ac:dyDescent="0.25">
      <c r="B13" s="47">
        <v>6</v>
      </c>
      <c r="C13" s="58" t="s">
        <v>89</v>
      </c>
      <c r="D13" s="59">
        <v>6</v>
      </c>
      <c r="E13" s="59">
        <v>3</v>
      </c>
      <c r="F13" s="58">
        <f>'2 lentelė'!Q81+'2 lentelė'!Q83+'2 lentelė'!Q87</f>
        <v>2675241.77</v>
      </c>
      <c r="G13" s="53"/>
      <c r="H13" s="53"/>
    </row>
    <row r="14" spans="2:8" s="87" customFormat="1" hidden="1" x14ac:dyDescent="0.25">
      <c r="B14" s="97">
        <v>7</v>
      </c>
      <c r="C14" s="88" t="s">
        <v>90</v>
      </c>
      <c r="D14" s="54">
        <v>9</v>
      </c>
      <c r="E14" s="54">
        <v>8</v>
      </c>
      <c r="F14" s="100">
        <f>'2 lentelė'!Q82+'2 lentelė'!Q84+'2 lentelė'!Q85+'2 lentelė'!Q86+'2 lentelė'!Q88+'2 lentelė'!Q89+'2 lentelė'!Q90+'2 lentelė'!Q91</f>
        <v>6094690.25</v>
      </c>
      <c r="G14" s="98"/>
      <c r="H14" s="98"/>
    </row>
    <row r="15" spans="2:8" hidden="1" x14ac:dyDescent="0.25">
      <c r="B15" s="47">
        <v>8</v>
      </c>
      <c r="C15" s="58" t="s">
        <v>91</v>
      </c>
      <c r="D15" s="59">
        <v>2</v>
      </c>
      <c r="E15" s="59">
        <v>2</v>
      </c>
      <c r="F15" s="58">
        <f>'2 lentelė'!Q93+'2 lentelė'!Q94</f>
        <v>1745596.94</v>
      </c>
      <c r="G15" s="53"/>
      <c r="H15" s="53"/>
    </row>
    <row r="16" spans="2:8" x14ac:dyDescent="0.25">
      <c r="B16" s="47">
        <v>9</v>
      </c>
      <c r="C16" s="58" t="s">
        <v>92</v>
      </c>
      <c r="D16" s="59">
        <v>8</v>
      </c>
      <c r="E16" s="59">
        <v>3</v>
      </c>
      <c r="F16" s="61">
        <f>'2 lentelė'!Q48+'2 lentelė'!Q49+'2 lentelė'!Q50</f>
        <v>450979.85</v>
      </c>
      <c r="G16" s="53"/>
      <c r="H16" s="53"/>
    </row>
    <row r="17" spans="2:8" hidden="1" x14ac:dyDescent="0.25">
      <c r="B17" s="47">
        <v>10</v>
      </c>
      <c r="C17" s="58" t="s">
        <v>93</v>
      </c>
      <c r="D17" s="59">
        <v>1</v>
      </c>
      <c r="E17" s="59">
        <v>1</v>
      </c>
      <c r="F17" s="58">
        <f>'2 lentelė'!Q64+'2 lentelė'!Q65</f>
        <v>691815</v>
      </c>
      <c r="G17" s="53"/>
      <c r="H17" s="53"/>
    </row>
    <row r="18" spans="2:8" x14ac:dyDescent="0.25">
      <c r="B18" s="47">
        <v>11</v>
      </c>
      <c r="C18" s="58" t="s">
        <v>94</v>
      </c>
      <c r="D18" s="59">
        <v>2</v>
      </c>
      <c r="E18" s="59">
        <v>1</v>
      </c>
      <c r="F18" s="58">
        <f>'2 lentelė'!Q38</f>
        <v>292965.89</v>
      </c>
      <c r="G18" s="98"/>
      <c r="H18" s="53"/>
    </row>
    <row r="19" spans="2:8" x14ac:dyDescent="0.25">
      <c r="B19" s="47">
        <v>12</v>
      </c>
      <c r="C19" s="58" t="s">
        <v>95</v>
      </c>
      <c r="D19" s="59">
        <v>9</v>
      </c>
      <c r="E19" s="59">
        <v>9</v>
      </c>
      <c r="F19" s="58">
        <f>'2 lentelė'!Q39+'2 lentelė'!Q40+'2 lentelė'!Q41+'2 lentelė'!Q42+'2 lentelė'!Q43+'2 lentelė'!Q44+'2 lentelė'!Q45+'2 lentelė'!Q46+'2 lentelė'!Q47</f>
        <v>3096173.19</v>
      </c>
      <c r="G19" s="98"/>
      <c r="H19" s="53"/>
    </row>
    <row r="20" spans="2:8" hidden="1" x14ac:dyDescent="0.25">
      <c r="B20" s="22">
        <v>13</v>
      </c>
      <c r="C20" s="13" t="s">
        <v>96</v>
      </c>
      <c r="D20" s="59">
        <v>0</v>
      </c>
      <c r="E20" s="59">
        <v>0</v>
      </c>
      <c r="F20" s="58">
        <v>0</v>
      </c>
      <c r="G20" s="87"/>
    </row>
    <row r="21" spans="2:8" hidden="1" x14ac:dyDescent="0.25">
      <c r="B21" s="22">
        <v>14</v>
      </c>
      <c r="C21" s="13" t="s">
        <v>97</v>
      </c>
      <c r="D21" s="59">
        <v>0</v>
      </c>
      <c r="E21" s="59">
        <v>0</v>
      </c>
      <c r="F21" s="58">
        <v>0</v>
      </c>
      <c r="G21" s="87"/>
    </row>
    <row r="22" spans="2:8" hidden="1" x14ac:dyDescent="0.25">
      <c r="B22" s="22">
        <v>15</v>
      </c>
      <c r="C22" s="13" t="s">
        <v>98</v>
      </c>
      <c r="D22" s="59">
        <v>0</v>
      </c>
      <c r="E22" s="59">
        <v>0</v>
      </c>
      <c r="F22" s="58">
        <v>0</v>
      </c>
      <c r="G22" s="87"/>
    </row>
    <row r="23" spans="2:8" hidden="1" x14ac:dyDescent="0.25">
      <c r="B23" s="22">
        <v>16</v>
      </c>
      <c r="C23" s="13" t="s">
        <v>99</v>
      </c>
      <c r="D23" s="59">
        <v>0</v>
      </c>
      <c r="E23" s="59">
        <v>0</v>
      </c>
      <c r="F23" s="58">
        <v>0</v>
      </c>
      <c r="G23" s="87"/>
    </row>
    <row r="24" spans="2:8" hidden="1" x14ac:dyDescent="0.25">
      <c r="B24" s="22">
        <v>17</v>
      </c>
      <c r="C24" s="13" t="s">
        <v>100</v>
      </c>
      <c r="D24" s="59">
        <v>0</v>
      </c>
      <c r="E24" s="59">
        <v>0</v>
      </c>
      <c r="F24" s="58">
        <v>0</v>
      </c>
      <c r="G24" s="87"/>
    </row>
    <row r="25" spans="2:8" hidden="1" x14ac:dyDescent="0.25">
      <c r="B25" s="22">
        <v>18</v>
      </c>
      <c r="C25" s="13" t="s">
        <v>101</v>
      </c>
      <c r="D25" s="59">
        <v>0</v>
      </c>
      <c r="E25" s="59">
        <v>0</v>
      </c>
      <c r="F25" s="58">
        <v>0</v>
      </c>
      <c r="G25" s="87"/>
    </row>
    <row r="26" spans="2:8" ht="30" hidden="1" customHeight="1" x14ac:dyDescent="0.25">
      <c r="B26" s="22">
        <v>19</v>
      </c>
      <c r="C26" s="59" t="s">
        <v>1017</v>
      </c>
      <c r="D26" s="59">
        <v>6</v>
      </c>
      <c r="E26" s="59">
        <v>6</v>
      </c>
      <c r="F26" s="88">
        <f>'2 lentelė'!Q53+'2 lentelė'!Q54+'2 lentelė'!Q55+'2 lentelė'!Q56+'2 lentelė'!Q60+'2 lentelė'!Q62</f>
        <v>1606390</v>
      </c>
      <c r="G26" s="87"/>
    </row>
    <row r="27" spans="2:8" hidden="1" x14ac:dyDescent="0.25">
      <c r="B27" s="22">
        <v>20</v>
      </c>
      <c r="C27" s="58" t="s">
        <v>102</v>
      </c>
      <c r="D27" s="59">
        <v>0</v>
      </c>
      <c r="E27" s="59">
        <v>0</v>
      </c>
      <c r="F27" s="88">
        <v>0</v>
      </c>
      <c r="G27" s="87"/>
    </row>
    <row r="28" spans="2:8" hidden="1" x14ac:dyDescent="0.25">
      <c r="B28" s="22">
        <v>21</v>
      </c>
      <c r="C28" s="58" t="s">
        <v>103</v>
      </c>
      <c r="D28" s="59">
        <v>0</v>
      </c>
      <c r="E28" s="59">
        <v>0</v>
      </c>
      <c r="F28" s="88">
        <v>0</v>
      </c>
      <c r="G28" s="87"/>
    </row>
    <row r="29" spans="2:8" hidden="1" x14ac:dyDescent="0.25">
      <c r="B29" s="22">
        <v>22</v>
      </c>
      <c r="C29" s="59" t="s">
        <v>104</v>
      </c>
      <c r="D29" s="59">
        <v>3</v>
      </c>
      <c r="E29" s="59">
        <v>3</v>
      </c>
      <c r="F29" s="88">
        <f>'2 lentelė'!Q126+'2 lentelė'!Q127+'2 lentelė'!Q128</f>
        <v>830529</v>
      </c>
      <c r="G29" s="87"/>
    </row>
    <row r="30" spans="2:8" hidden="1" x14ac:dyDescent="0.25">
      <c r="B30" s="22">
        <v>23</v>
      </c>
      <c r="C30" s="59" t="s">
        <v>105</v>
      </c>
      <c r="D30" s="59">
        <v>2</v>
      </c>
      <c r="E30" s="59">
        <v>2</v>
      </c>
      <c r="F30" s="88">
        <f>'2 lentelė'!Q123+'2 lentelė'!Q124</f>
        <v>560529</v>
      </c>
      <c r="G30" s="87"/>
    </row>
    <row r="31" spans="2:8" hidden="1" x14ac:dyDescent="0.25">
      <c r="B31" s="22">
        <v>24</v>
      </c>
      <c r="C31" s="59" t="s">
        <v>106</v>
      </c>
      <c r="D31" s="59">
        <v>3</v>
      </c>
      <c r="E31" s="59">
        <v>3</v>
      </c>
      <c r="F31" s="88">
        <f>'2 lentelė'!Q24+'2 lentelė'!Q131+'2 lentelė'!Q132</f>
        <v>1845317.78</v>
      </c>
      <c r="G31" s="87"/>
    </row>
    <row r="32" spans="2:8" hidden="1" x14ac:dyDescent="0.25">
      <c r="B32" s="22">
        <v>25</v>
      </c>
      <c r="C32" s="59" t="s">
        <v>107</v>
      </c>
      <c r="D32" s="59">
        <v>4</v>
      </c>
      <c r="E32" s="59">
        <v>3</v>
      </c>
      <c r="F32" s="88">
        <f>'2 lentelė'!Q166+'2 lentelė'!Q167+'2 lentelė'!Q168</f>
        <v>987313.27</v>
      </c>
      <c r="G32" s="87"/>
    </row>
    <row r="33" spans="2:7" hidden="1" x14ac:dyDescent="0.25">
      <c r="B33" s="22">
        <v>26</v>
      </c>
      <c r="C33" s="59" t="s">
        <v>108</v>
      </c>
      <c r="D33" s="59">
        <v>4</v>
      </c>
      <c r="E33" s="59">
        <v>3</v>
      </c>
      <c r="F33" s="88">
        <f>'2 lentelė'!Q169+'2 lentelė'!Q170+'2 lentelė'!Q171</f>
        <v>1209715</v>
      </c>
      <c r="G33" s="87"/>
    </row>
    <row r="34" spans="2:7" hidden="1" x14ac:dyDescent="0.25">
      <c r="B34" s="99">
        <v>27</v>
      </c>
      <c r="C34" s="59" t="s">
        <v>1006</v>
      </c>
      <c r="D34" s="59">
        <v>12</v>
      </c>
      <c r="E34" s="59">
        <v>12</v>
      </c>
      <c r="F34" s="100">
        <f>'2 lentelė'!Q161+'2 lentelė'!Q162+'2 lentelė'!Q163+'2 lentelė'!Q164+'2 lentelė'!Q136+'2 lentelė'!Q137+'2 lentelė'!Q138+'2 lentelė'!Q139+'2 lentelė'!Q140+'2 lentelė'!Q141+'2 lentelė'!Q142+'2 lentelė'!Q143</f>
        <v>1916234.49</v>
      </c>
      <c r="G34" s="87"/>
    </row>
    <row r="35" spans="2:7" s="87" customFormat="1" ht="25.5" hidden="1" x14ac:dyDescent="0.25">
      <c r="B35" s="99">
        <v>28</v>
      </c>
      <c r="C35" s="54" t="s">
        <v>109</v>
      </c>
      <c r="D35" s="54">
        <v>5</v>
      </c>
      <c r="E35" s="54">
        <v>4</v>
      </c>
      <c r="F35" s="88">
        <f>'2 lentelė'!Q12+'2 lentelė'!Q20+'2 lentelė'!Q21+'2 lentelė'!Q22</f>
        <v>2801732.6799999997</v>
      </c>
    </row>
    <row r="36" spans="2:7" s="87" customFormat="1" ht="25.5" hidden="1" x14ac:dyDescent="0.25">
      <c r="B36" s="99">
        <v>29</v>
      </c>
      <c r="C36" s="54" t="s">
        <v>110</v>
      </c>
      <c r="D36" s="54">
        <v>12</v>
      </c>
      <c r="E36" s="54">
        <v>5</v>
      </c>
      <c r="F36" s="88">
        <f>'2 lentelė'!Q15+'2 lentelė'!Q17+'2 lentelė'!Q18+'2 lentelė'!Q19+'2 lentelė'!Q31</f>
        <v>3193231.7199999997</v>
      </c>
    </row>
    <row r="37" spans="2:7" ht="25.5" hidden="1" x14ac:dyDescent="0.25">
      <c r="B37" s="22">
        <v>30</v>
      </c>
      <c r="C37" s="59" t="s">
        <v>111</v>
      </c>
      <c r="D37" s="59">
        <v>5</v>
      </c>
      <c r="E37" s="59">
        <v>5</v>
      </c>
      <c r="F37" s="88">
        <f>'2 lentelė'!Q14+'2 lentelė'!Q16+'2 lentelė'!Q23+'2 lentelė'!Q26+'2 lentelė'!Q28</f>
        <v>2884102.98</v>
      </c>
      <c r="G37" s="87"/>
    </row>
    <row r="38" spans="2:7" ht="25.5" hidden="1" x14ac:dyDescent="0.25">
      <c r="B38" s="22">
        <v>31</v>
      </c>
      <c r="C38" s="59" t="s">
        <v>112</v>
      </c>
      <c r="D38" s="59">
        <v>1</v>
      </c>
      <c r="E38" s="59">
        <v>1</v>
      </c>
      <c r="F38" s="88">
        <f>'2 lentelė'!Q27</f>
        <v>1333555.3</v>
      </c>
      <c r="G38" s="87"/>
    </row>
    <row r="39" spans="2:7" ht="25.5" hidden="1" x14ac:dyDescent="0.25">
      <c r="B39" s="22">
        <v>32</v>
      </c>
      <c r="C39" s="59" t="s">
        <v>113</v>
      </c>
      <c r="D39" s="59">
        <v>3</v>
      </c>
      <c r="E39" s="59">
        <v>1</v>
      </c>
      <c r="F39" s="88">
        <f>'2 lentelė'!Q13</f>
        <v>571713.55000000005</v>
      </c>
      <c r="G39" s="87"/>
    </row>
    <row r="40" spans="2:7" hidden="1" x14ac:dyDescent="0.25">
      <c r="B40" s="22">
        <v>33</v>
      </c>
      <c r="C40" s="59" t="s">
        <v>114</v>
      </c>
      <c r="D40" s="59">
        <v>6</v>
      </c>
      <c r="E40" s="59">
        <v>6</v>
      </c>
      <c r="F40" s="88">
        <f>'2 lentelė'!Q174+'2 lentelė'!Q175+'2 lentelė'!Q176+'2 lentelė'!Q177+'2 lentelė'!Q178+'2 lentelė'!Q179</f>
        <v>4766852.91</v>
      </c>
      <c r="G40" s="87"/>
    </row>
    <row r="41" spans="2:7" ht="25.5" hidden="1" x14ac:dyDescent="0.25">
      <c r="B41" s="22">
        <v>34</v>
      </c>
      <c r="C41" s="59" t="s">
        <v>115</v>
      </c>
      <c r="D41" s="59">
        <v>1</v>
      </c>
      <c r="E41" s="59">
        <v>1</v>
      </c>
      <c r="F41" s="88">
        <f>'2 lentelė'!Q11</f>
        <v>1441407.94</v>
      </c>
      <c r="G41" s="87"/>
    </row>
    <row r="42" spans="2:7" hidden="1" x14ac:dyDescent="0.25">
      <c r="B42" s="22">
        <v>35</v>
      </c>
      <c r="C42" s="59" t="s">
        <v>116</v>
      </c>
      <c r="D42" s="59">
        <v>0</v>
      </c>
      <c r="E42" s="59">
        <v>0</v>
      </c>
      <c r="F42" s="88">
        <v>0</v>
      </c>
      <c r="G42" s="87"/>
    </row>
    <row r="43" spans="2:7" hidden="1" x14ac:dyDescent="0.25">
      <c r="B43" s="22">
        <v>36</v>
      </c>
      <c r="C43" s="59" t="s">
        <v>117</v>
      </c>
      <c r="D43" s="59">
        <v>1</v>
      </c>
      <c r="E43" s="59">
        <v>1</v>
      </c>
      <c r="F43" s="88">
        <f>'2 lentelė'!Q76+'2 lentelė'!Q116</f>
        <v>1991656.88</v>
      </c>
      <c r="G43" s="87"/>
    </row>
    <row r="44" spans="2:7" hidden="1" x14ac:dyDescent="0.25">
      <c r="B44" s="22">
        <v>37</v>
      </c>
      <c r="C44" s="59" t="s">
        <v>118</v>
      </c>
      <c r="D44" s="59">
        <v>0</v>
      </c>
      <c r="E44" s="59">
        <v>0</v>
      </c>
      <c r="F44" s="88">
        <v>0</v>
      </c>
      <c r="G44" s="87"/>
    </row>
    <row r="45" spans="2:7" s="87" customFormat="1" hidden="1" x14ac:dyDescent="0.25">
      <c r="B45" s="99">
        <v>38</v>
      </c>
      <c r="C45" s="54" t="s">
        <v>119</v>
      </c>
      <c r="D45" s="54">
        <v>10</v>
      </c>
      <c r="E45" s="54">
        <v>10</v>
      </c>
      <c r="F45" s="88">
        <f>'2 lentelė'!Q103+'2 lentelė'!Q104+'2 lentelė'!Q105+'2 lentelė'!Q106+'2 lentelė'!Q107+'2 lentelė'!Q108+'2 lentelė'!Q109+'2 lentelė'!Q110+'2 lentelė'!Q111+'2 lentelė'!Q112</f>
        <v>2964442.0399999996</v>
      </c>
    </row>
    <row r="46" spans="2:7" hidden="1" x14ac:dyDescent="0.25">
      <c r="B46" s="22">
        <v>39</v>
      </c>
      <c r="C46" s="59" t="s">
        <v>120</v>
      </c>
      <c r="D46" s="59">
        <v>0</v>
      </c>
      <c r="E46" s="59">
        <v>0</v>
      </c>
      <c r="F46" s="88">
        <v>0</v>
      </c>
    </row>
    <row r="47" spans="2:7" hidden="1" x14ac:dyDescent="0.25">
      <c r="B47" s="22">
        <v>40</v>
      </c>
      <c r="C47" s="59" t="s">
        <v>121</v>
      </c>
      <c r="D47" s="59">
        <v>0</v>
      </c>
      <c r="E47" s="59">
        <v>0</v>
      </c>
      <c r="F47" s="88">
        <v>0</v>
      </c>
    </row>
    <row r="48" spans="2:7" hidden="1" x14ac:dyDescent="0.25">
      <c r="B48" s="22">
        <v>41</v>
      </c>
      <c r="C48" s="59" t="s">
        <v>122</v>
      </c>
      <c r="D48" s="59">
        <v>0</v>
      </c>
      <c r="E48" s="59">
        <v>0</v>
      </c>
      <c r="F48" s="88">
        <v>0</v>
      </c>
    </row>
    <row r="49" spans="2:6" hidden="1" x14ac:dyDescent="0.25">
      <c r="B49" s="22">
        <v>42</v>
      </c>
      <c r="C49" s="59" t="s">
        <v>123</v>
      </c>
      <c r="D49" s="59">
        <v>4</v>
      </c>
      <c r="E49" s="59">
        <v>2</v>
      </c>
      <c r="F49" s="88">
        <f>'2 lentelė'!Q76+'2 lentelė'!Q77</f>
        <v>544242.71</v>
      </c>
    </row>
    <row r="50" spans="2:6" hidden="1" x14ac:dyDescent="0.25">
      <c r="B50" s="22">
        <v>43</v>
      </c>
      <c r="C50" s="58" t="s">
        <v>124</v>
      </c>
      <c r="D50" s="59">
        <v>1</v>
      </c>
      <c r="E50" s="59">
        <v>0</v>
      </c>
      <c r="F50" s="58">
        <v>0</v>
      </c>
    </row>
    <row r="51" spans="2:6" hidden="1" x14ac:dyDescent="0.25">
      <c r="B51" s="22">
        <v>44</v>
      </c>
      <c r="C51" s="59" t="s">
        <v>125</v>
      </c>
      <c r="D51" s="59">
        <v>4</v>
      </c>
      <c r="E51" s="59">
        <v>4</v>
      </c>
      <c r="F51" s="58">
        <f>'2 lentelė'!Q70+'2 lentelė'!Q71+'2 lentelė'!Q72+'2 lentelė'!Q73</f>
        <v>1180721</v>
      </c>
    </row>
    <row r="52" spans="2:6" hidden="1" x14ac:dyDescent="0.25">
      <c r="B52" s="22">
        <v>45</v>
      </c>
      <c r="C52" s="59" t="s">
        <v>126</v>
      </c>
      <c r="D52" s="59">
        <v>0</v>
      </c>
      <c r="E52" s="59">
        <v>0</v>
      </c>
      <c r="F52" s="58">
        <v>0</v>
      </c>
    </row>
    <row r="53" spans="2:6" hidden="1" x14ac:dyDescent="0.25">
      <c r="B53" s="22">
        <v>46</v>
      </c>
      <c r="C53" s="59" t="s">
        <v>127</v>
      </c>
      <c r="D53" s="59">
        <v>0</v>
      </c>
      <c r="E53" s="59">
        <v>0</v>
      </c>
      <c r="F53" s="58">
        <v>0</v>
      </c>
    </row>
    <row r="54" spans="2:6" hidden="1" x14ac:dyDescent="0.25">
      <c r="B54" s="22">
        <v>47</v>
      </c>
      <c r="C54" s="59" t="s">
        <v>128</v>
      </c>
      <c r="D54" s="59">
        <v>12</v>
      </c>
      <c r="E54" s="59">
        <v>12</v>
      </c>
      <c r="F54" s="58">
        <f>'2 lentelė'!Q145+'2 lentelė'!Q146+'2 lentelė'!Q147+'2 lentelė'!Q148+'2 lentelė'!Q149+'2 lentelė'!Q150+'2 lentelė'!Q153+'2 lentelė'!Q154+'2 lentelė'!Q155++'2 lentelė'!Q156+'2 lentelė'!Q157+'2 lentelė'!Q158</f>
        <v>859012.87</v>
      </c>
    </row>
    <row r="55" spans="2:6" hidden="1" x14ac:dyDescent="0.25">
      <c r="B55" s="22">
        <v>48</v>
      </c>
      <c r="C55" s="59" t="s">
        <v>129</v>
      </c>
      <c r="D55" s="59">
        <v>0</v>
      </c>
      <c r="E55" s="59">
        <v>0</v>
      </c>
      <c r="F55" s="58">
        <v>0</v>
      </c>
    </row>
    <row r="56" spans="2:6" hidden="1" x14ac:dyDescent="0.25">
      <c r="B56" s="22">
        <v>49</v>
      </c>
      <c r="C56" s="58" t="s">
        <v>130</v>
      </c>
      <c r="D56" s="59">
        <v>7</v>
      </c>
      <c r="E56" s="59">
        <v>7</v>
      </c>
      <c r="F56" s="58">
        <f>'2 lentelė'!Q182+'2 lentelė'!Q183+'2 lentelė'!Q184+'2 lentelė'!Q185+'2 lentelė'!Q186+'2 lentelė'!Q187+'2 lentelė'!Q188</f>
        <v>951991</v>
      </c>
    </row>
    <row r="57" spans="2:6" hidden="1" x14ac:dyDescent="0.25">
      <c r="B57" s="22">
        <v>50</v>
      </c>
      <c r="C57" s="58" t="s">
        <v>131</v>
      </c>
      <c r="D57" s="59">
        <v>3</v>
      </c>
      <c r="E57" s="59">
        <v>2</v>
      </c>
      <c r="F57" s="58">
        <f>'2 lentelė'!Q61+'2 lentelė'!Q59</f>
        <v>55845</v>
      </c>
    </row>
    <row r="58" spans="2:6" ht="25.5" hidden="1" x14ac:dyDescent="0.25">
      <c r="B58" s="22">
        <v>51</v>
      </c>
      <c r="C58" s="18" t="s">
        <v>132</v>
      </c>
      <c r="D58" s="59">
        <v>0</v>
      </c>
      <c r="E58" s="59">
        <v>0</v>
      </c>
      <c r="F58" s="58">
        <v>0</v>
      </c>
    </row>
    <row r="59" spans="2:6" ht="25.5" hidden="1" x14ac:dyDescent="0.25">
      <c r="B59" s="22">
        <v>52</v>
      </c>
      <c r="C59" s="18" t="s">
        <v>133</v>
      </c>
      <c r="D59" s="59">
        <v>0</v>
      </c>
      <c r="E59" s="59">
        <v>0</v>
      </c>
      <c r="F59" s="58">
        <v>0</v>
      </c>
    </row>
  </sheetData>
  <mergeCells count="3">
    <mergeCell ref="E1:H1"/>
    <mergeCell ref="E2:H2"/>
    <mergeCell ref="E3:H3"/>
  </mergeCells>
  <pageMargins left="0.7" right="0.7" top="0.75" bottom="0.75" header="0.3" footer="0.3"/>
  <pageSetup scale="5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0"/>
  <sheetViews>
    <sheetView workbookViewId="0">
      <selection activeCell="J68" sqref="J68"/>
    </sheetView>
  </sheetViews>
  <sheetFormatPr defaultRowHeight="15" x14ac:dyDescent="0.25"/>
  <cols>
    <col min="3" max="3" width="36.140625" customWidth="1"/>
  </cols>
  <sheetData>
    <row r="1" spans="2:14" ht="15.75" x14ac:dyDescent="0.25">
      <c r="B1" s="53"/>
      <c r="C1" s="53"/>
      <c r="D1" s="53"/>
      <c r="E1" s="53"/>
      <c r="F1" s="53"/>
      <c r="G1" s="53"/>
      <c r="H1" s="53"/>
      <c r="I1" s="53"/>
      <c r="J1" s="53"/>
      <c r="K1" s="179" t="s">
        <v>140</v>
      </c>
      <c r="L1" s="179"/>
      <c r="M1" s="179"/>
      <c r="N1" s="179"/>
    </row>
    <row r="2" spans="2:14" ht="15.75" x14ac:dyDescent="0.25">
      <c r="B2" s="53"/>
      <c r="C2" s="53"/>
      <c r="D2" s="53"/>
      <c r="E2" s="53"/>
      <c r="F2" s="53"/>
      <c r="G2" s="53"/>
      <c r="H2" s="53"/>
      <c r="I2" s="53"/>
      <c r="J2" s="53"/>
      <c r="K2" s="179" t="s">
        <v>24</v>
      </c>
      <c r="L2" s="179"/>
      <c r="M2" s="179"/>
      <c r="N2" s="155"/>
    </row>
    <row r="3" spans="2:14" ht="15.75" x14ac:dyDescent="0.25">
      <c r="B3" s="53"/>
      <c r="C3" s="53"/>
      <c r="D3" s="53"/>
      <c r="E3" s="53"/>
      <c r="F3" s="53"/>
      <c r="G3" s="53"/>
      <c r="H3" s="53"/>
      <c r="I3" s="53"/>
      <c r="J3" s="53"/>
      <c r="K3" s="179" t="s">
        <v>943</v>
      </c>
      <c r="L3" s="179"/>
      <c r="M3" s="179"/>
      <c r="N3" s="155"/>
    </row>
    <row r="4" spans="2:14" x14ac:dyDescent="0.25">
      <c r="B4" s="53"/>
      <c r="C4" s="53"/>
      <c r="D4" s="53"/>
      <c r="E4" s="53"/>
      <c r="F4" s="53"/>
      <c r="G4" s="53"/>
      <c r="H4" s="53"/>
      <c r="I4" s="53"/>
      <c r="J4" s="53"/>
      <c r="K4" s="53"/>
      <c r="L4" s="53"/>
      <c r="M4" s="53"/>
      <c r="N4" s="53"/>
    </row>
    <row r="5" spans="2:14" s="53" customFormat="1" x14ac:dyDescent="0.25"/>
    <row r="6" spans="2:14" s="53" customFormat="1" ht="15.75" x14ac:dyDescent="0.25">
      <c r="B6" s="180" t="s">
        <v>944</v>
      </c>
      <c r="C6" s="180"/>
      <c r="D6" s="180"/>
      <c r="E6" s="180"/>
      <c r="F6" s="180"/>
      <c r="G6" s="180"/>
      <c r="H6" s="180"/>
      <c r="I6" s="180"/>
      <c r="J6" s="180"/>
      <c r="K6" s="180"/>
    </row>
    <row r="7" spans="2:14" s="53" customFormat="1" x14ac:dyDescent="0.25"/>
    <row r="8" spans="2:14" s="53" customFormat="1" ht="15.75" x14ac:dyDescent="0.25">
      <c r="B8" s="64" t="s">
        <v>945</v>
      </c>
      <c r="C8" s="70"/>
      <c r="D8" s="70"/>
      <c r="E8" s="70"/>
      <c r="F8" s="70"/>
      <c r="G8" s="70"/>
      <c r="H8" s="70"/>
      <c r="I8" s="70"/>
      <c r="J8" s="70"/>
    </row>
    <row r="9" spans="2:14" s="53" customFormat="1" x14ac:dyDescent="0.25"/>
    <row r="10" spans="2:14" s="53" customFormat="1" ht="15.75" x14ac:dyDescent="0.25">
      <c r="B10" s="71" t="s">
        <v>71</v>
      </c>
      <c r="C10" s="71" t="s">
        <v>946</v>
      </c>
      <c r="D10" s="71" t="s">
        <v>73</v>
      </c>
      <c r="E10" s="71">
        <v>2014</v>
      </c>
      <c r="F10" s="71">
        <v>2015</v>
      </c>
      <c r="G10" s="71">
        <v>2016</v>
      </c>
      <c r="H10" s="71">
        <v>2017</v>
      </c>
      <c r="I10" s="71">
        <v>2018</v>
      </c>
      <c r="J10" s="71">
        <v>2019</v>
      </c>
      <c r="K10" s="71">
        <v>2020</v>
      </c>
      <c r="L10" s="71">
        <v>2021</v>
      </c>
      <c r="M10" s="71">
        <v>2022</v>
      </c>
      <c r="N10" s="71">
        <v>2023</v>
      </c>
    </row>
    <row r="11" spans="2:14" s="53" customFormat="1" ht="39" hidden="1" x14ac:dyDescent="0.25">
      <c r="B11" s="51" t="s">
        <v>800</v>
      </c>
      <c r="C11" s="72" t="s">
        <v>803</v>
      </c>
      <c r="D11" s="51"/>
      <c r="E11" s="51">
        <v>0</v>
      </c>
      <c r="F11" s="51">
        <v>0</v>
      </c>
      <c r="G11" s="51">
        <v>0</v>
      </c>
      <c r="H11" s="51">
        <v>0</v>
      </c>
      <c r="I11" s="51">
        <v>3300</v>
      </c>
      <c r="J11" s="51">
        <v>570</v>
      </c>
      <c r="K11" s="51">
        <v>0</v>
      </c>
      <c r="L11" s="51">
        <v>0</v>
      </c>
      <c r="M11" s="51">
        <v>0</v>
      </c>
      <c r="N11" s="51">
        <v>0</v>
      </c>
    </row>
    <row r="12" spans="2:14" s="53" customFormat="1" ht="26.25" x14ac:dyDescent="0.25">
      <c r="B12" s="51" t="s">
        <v>783</v>
      </c>
      <c r="C12" s="72" t="s">
        <v>784</v>
      </c>
      <c r="D12" s="51"/>
      <c r="E12" s="51">
        <v>0</v>
      </c>
      <c r="F12" s="51">
        <v>0</v>
      </c>
      <c r="G12" s="51">
        <v>0</v>
      </c>
      <c r="H12" s="51">
        <v>0</v>
      </c>
      <c r="I12" s="51">
        <v>0</v>
      </c>
      <c r="J12" s="51">
        <f>'3 lentelė'!N42+'3 lentelė'!N43+'3 lentelė'!N44+'3 lentelė'!N46</f>
        <v>4.3090000000000002</v>
      </c>
      <c r="K12" s="156">
        <f>'3 lentelė'!N41+'3 lentelė'!N45+'3 lentelė'!N47+'3 lentelė'!N49</f>
        <v>1.2630000000000001</v>
      </c>
      <c r="L12" s="51">
        <v>0</v>
      </c>
      <c r="M12" s="156">
        <f>'3 lentelė'!N48</f>
        <v>1.2</v>
      </c>
      <c r="N12" s="51">
        <v>0</v>
      </c>
    </row>
    <row r="13" spans="2:14" s="53" customFormat="1" ht="26.25" hidden="1" x14ac:dyDescent="0.25">
      <c r="B13" s="51" t="s">
        <v>845</v>
      </c>
      <c r="C13" s="72" t="s">
        <v>846</v>
      </c>
      <c r="D13" s="51"/>
      <c r="E13" s="51">
        <v>0</v>
      </c>
      <c r="F13" s="51">
        <v>0</v>
      </c>
      <c r="G13" s="51">
        <v>0</v>
      </c>
      <c r="H13" s="51">
        <v>0</v>
      </c>
      <c r="I13" s="51">
        <v>0</v>
      </c>
      <c r="J13" s="51">
        <v>905</v>
      </c>
      <c r="K13" s="51">
        <v>1406</v>
      </c>
      <c r="L13" s="51">
        <v>0</v>
      </c>
      <c r="M13" s="51">
        <v>0</v>
      </c>
      <c r="N13" s="51">
        <v>0</v>
      </c>
    </row>
    <row r="14" spans="2:14" s="98" customFormat="1" ht="26.25" hidden="1" x14ac:dyDescent="0.25">
      <c r="B14" s="101" t="s">
        <v>767</v>
      </c>
      <c r="C14" s="102" t="s">
        <v>909</v>
      </c>
      <c r="D14" s="101"/>
      <c r="E14" s="101">
        <v>0</v>
      </c>
      <c r="F14" s="101">
        <v>0</v>
      </c>
      <c r="G14" s="101">
        <v>0</v>
      </c>
      <c r="H14" s="101">
        <v>0</v>
      </c>
      <c r="I14" s="101">
        <f>'3 lentelė'!N15+'3 lentelė'!N28+'3 lentelė'!N29+'3 lentelė'!N30</f>
        <v>248458</v>
      </c>
      <c r="J14" s="101">
        <f>'3 lentelė'!N14+'3 lentelė'!N17+'3 lentelė'!N20+'3 lentelė'!N24+'3 lentelė'!N26</f>
        <v>214371</v>
      </c>
      <c r="K14" s="101">
        <f>'3 lentelė'!N13+'3 lentelė'!N18+'3 lentelė'!N19+'3 lentelė'!N21+'3 lentelė'!N22+'3 lentelė'!N23+'3 lentelė'!N25</f>
        <v>362389.1</v>
      </c>
      <c r="L14" s="101">
        <v>0</v>
      </c>
      <c r="M14" s="101">
        <f>'3 lentelė'!N16</f>
        <v>22620.5</v>
      </c>
      <c r="N14" s="101">
        <v>0</v>
      </c>
    </row>
    <row r="15" spans="2:14" s="98" customFormat="1" ht="26.25" hidden="1" x14ac:dyDescent="0.25">
      <c r="B15" s="101" t="s">
        <v>769</v>
      </c>
      <c r="C15" s="102" t="s">
        <v>910</v>
      </c>
      <c r="D15" s="101"/>
      <c r="E15" s="101">
        <v>0</v>
      </c>
      <c r="F15" s="101">
        <v>0</v>
      </c>
      <c r="G15" s="101">
        <v>0</v>
      </c>
      <c r="H15" s="101">
        <v>0</v>
      </c>
      <c r="I15" s="101">
        <v>800</v>
      </c>
      <c r="J15" s="101">
        <v>840</v>
      </c>
      <c r="K15" s="101">
        <v>500</v>
      </c>
      <c r="L15" s="101">
        <v>0</v>
      </c>
      <c r="M15" s="101">
        <v>0</v>
      </c>
      <c r="N15" s="101">
        <v>0</v>
      </c>
    </row>
    <row r="16" spans="2:14" s="98" customFormat="1" ht="26.25" hidden="1" x14ac:dyDescent="0.25">
      <c r="B16" s="101" t="s">
        <v>821</v>
      </c>
      <c r="C16" s="102" t="s">
        <v>822</v>
      </c>
      <c r="D16" s="101"/>
      <c r="E16" s="101">
        <v>0</v>
      </c>
      <c r="F16" s="101">
        <v>0</v>
      </c>
      <c r="G16" s="101">
        <v>0</v>
      </c>
      <c r="H16" s="101">
        <v>0</v>
      </c>
      <c r="I16" s="101">
        <v>0</v>
      </c>
      <c r="J16" s="101">
        <v>20.25</v>
      </c>
      <c r="K16" s="101">
        <v>0</v>
      </c>
      <c r="L16" s="101">
        <v>0</v>
      </c>
      <c r="M16" s="101">
        <v>0</v>
      </c>
      <c r="N16" s="101">
        <v>0</v>
      </c>
    </row>
    <row r="17" spans="2:14" s="98" customFormat="1" ht="39" x14ac:dyDescent="0.25">
      <c r="B17" s="101" t="s">
        <v>808</v>
      </c>
      <c r="C17" s="102" t="s">
        <v>817</v>
      </c>
      <c r="D17" s="101"/>
      <c r="E17" s="101">
        <v>0</v>
      </c>
      <c r="F17" s="101">
        <v>0</v>
      </c>
      <c r="G17" s="101">
        <v>0</v>
      </c>
      <c r="H17" s="101">
        <v>0</v>
      </c>
      <c r="I17" s="101">
        <v>0</v>
      </c>
      <c r="J17" s="101">
        <f>'3 lentelė'!Q83+'3 lentelė'!N84+'3 lentelė'!N86+'3 lentelė'!N87+'3 lentelė'!N88</f>
        <v>1014</v>
      </c>
      <c r="K17" s="101">
        <f>'3 lentelė'!N91</f>
        <v>288</v>
      </c>
      <c r="L17" s="101">
        <f>'3 lentelė'!N90+'3 lentelė'!N93</f>
        <v>185</v>
      </c>
      <c r="M17" s="101">
        <f>'3 lentelė'!N92</f>
        <v>44</v>
      </c>
      <c r="N17" s="101">
        <v>0</v>
      </c>
    </row>
    <row r="18" spans="2:14" s="98" customFormat="1" ht="51.75" hidden="1" x14ac:dyDescent="0.25">
      <c r="B18" s="101" t="s">
        <v>810</v>
      </c>
      <c r="C18" s="102" t="s">
        <v>911</v>
      </c>
      <c r="D18" s="101"/>
      <c r="E18" s="101">
        <v>0</v>
      </c>
      <c r="F18" s="101">
        <v>0</v>
      </c>
      <c r="G18" s="101">
        <v>0</v>
      </c>
      <c r="H18" s="101">
        <v>0</v>
      </c>
      <c r="I18" s="101">
        <v>0</v>
      </c>
      <c r="J18" s="101">
        <f>'3 lentelė'!T83</f>
        <v>1032</v>
      </c>
      <c r="K18" s="101">
        <v>0</v>
      </c>
      <c r="L18" s="101">
        <f>'3 lentelė'!Q90</f>
        <v>153</v>
      </c>
      <c r="M18" s="101">
        <v>0</v>
      </c>
      <c r="N18" s="101">
        <v>0</v>
      </c>
    </row>
    <row r="19" spans="2:14" s="98" customFormat="1" ht="39" x14ac:dyDescent="0.25">
      <c r="B19" s="101" t="s">
        <v>812</v>
      </c>
      <c r="C19" s="102" t="s">
        <v>912</v>
      </c>
      <c r="D19" s="101"/>
      <c r="E19" s="101">
        <v>0</v>
      </c>
      <c r="F19" s="101">
        <v>0</v>
      </c>
      <c r="G19" s="101">
        <v>0</v>
      </c>
      <c r="H19" s="101">
        <v>0</v>
      </c>
      <c r="I19" s="101">
        <v>0</v>
      </c>
      <c r="J19" s="101">
        <f>'3 lentelė'!W83+'3 lentelė'!Q84+'3 lentelė'!Q86+'3 lentelė'!Q87+'3 lentelė'!Q88</f>
        <v>1502</v>
      </c>
      <c r="K19" s="101">
        <f>'3 lentelė'!Q91</f>
        <v>288</v>
      </c>
      <c r="L19" s="101">
        <f>'3 lentelė'!T90+'3 lentelė'!Q93</f>
        <v>260</v>
      </c>
      <c r="M19" s="101">
        <f>'3 lentelė'!Q92</f>
        <v>93</v>
      </c>
      <c r="N19" s="101">
        <v>0</v>
      </c>
    </row>
    <row r="20" spans="2:14" s="98" customFormat="1" ht="39" hidden="1" x14ac:dyDescent="0.25">
      <c r="B20" s="101" t="s">
        <v>814</v>
      </c>
      <c r="C20" s="102" t="s">
        <v>816</v>
      </c>
      <c r="D20" s="101"/>
      <c r="E20" s="101">
        <v>0</v>
      </c>
      <c r="F20" s="101">
        <v>0</v>
      </c>
      <c r="G20" s="101">
        <v>0</v>
      </c>
      <c r="H20" s="101">
        <v>0</v>
      </c>
      <c r="I20" s="101">
        <v>0</v>
      </c>
      <c r="J20" s="101">
        <f>'3 lentelė'!Z83+'3 lentelė'!T84+'3 lentelė'!T86+'3 lentelė'!T87</f>
        <v>613</v>
      </c>
      <c r="K20" s="101">
        <v>0</v>
      </c>
      <c r="L20" s="101">
        <f>'3 lentelė'!T92+'3 lentelė'!W90</f>
        <v>215</v>
      </c>
      <c r="M20" s="101">
        <v>0</v>
      </c>
      <c r="N20" s="101">
        <v>0</v>
      </c>
    </row>
    <row r="21" spans="2:14" s="98" customFormat="1" ht="51.75" hidden="1" x14ac:dyDescent="0.25">
      <c r="B21" s="101" t="s">
        <v>829</v>
      </c>
      <c r="C21" s="102" t="s">
        <v>913</v>
      </c>
      <c r="D21" s="101"/>
      <c r="E21" s="101">
        <v>0</v>
      </c>
      <c r="F21" s="101">
        <v>0</v>
      </c>
      <c r="G21" s="101">
        <v>0</v>
      </c>
      <c r="H21" s="101">
        <v>0</v>
      </c>
      <c r="I21" s="101">
        <v>0</v>
      </c>
      <c r="J21" s="101">
        <v>0</v>
      </c>
      <c r="K21" s="101">
        <v>2</v>
      </c>
      <c r="L21" s="101">
        <v>3</v>
      </c>
      <c r="M21" s="101">
        <v>0</v>
      </c>
      <c r="N21" s="101">
        <v>0</v>
      </c>
    </row>
    <row r="22" spans="2:14" s="98" customFormat="1" ht="26.25" hidden="1" x14ac:dyDescent="0.25">
      <c r="B22" s="101" t="s">
        <v>831</v>
      </c>
      <c r="C22" s="102" t="s">
        <v>832</v>
      </c>
      <c r="D22" s="101"/>
      <c r="E22" s="101">
        <v>0</v>
      </c>
      <c r="F22" s="101">
        <v>0</v>
      </c>
      <c r="G22" s="101">
        <v>0</v>
      </c>
      <c r="H22" s="101">
        <v>0</v>
      </c>
      <c r="I22" s="101">
        <v>68</v>
      </c>
      <c r="J22" s="101">
        <v>29</v>
      </c>
      <c r="K22" s="101">
        <v>44</v>
      </c>
      <c r="L22" s="101">
        <v>29</v>
      </c>
      <c r="M22" s="101">
        <v>0</v>
      </c>
      <c r="N22" s="101">
        <v>0</v>
      </c>
    </row>
    <row r="23" spans="2:14" s="98" customFormat="1" ht="26.25" hidden="1" x14ac:dyDescent="0.25">
      <c r="B23" s="101" t="s">
        <v>870</v>
      </c>
      <c r="C23" s="102" t="s">
        <v>914</v>
      </c>
      <c r="D23" s="101"/>
      <c r="E23" s="101">
        <v>0</v>
      </c>
      <c r="F23" s="101">
        <v>0</v>
      </c>
      <c r="G23" s="101">
        <v>0</v>
      </c>
      <c r="H23" s="101">
        <v>0</v>
      </c>
      <c r="I23" s="101">
        <v>5</v>
      </c>
      <c r="J23" s="101">
        <v>1</v>
      </c>
      <c r="K23" s="101">
        <v>0</v>
      </c>
      <c r="L23" s="101">
        <v>0</v>
      </c>
      <c r="M23" s="101">
        <v>0</v>
      </c>
      <c r="N23" s="101">
        <v>0</v>
      </c>
    </row>
    <row r="24" spans="2:14" s="98" customFormat="1" ht="39" hidden="1" x14ac:dyDescent="0.25">
      <c r="B24" s="101" t="s">
        <v>864</v>
      </c>
      <c r="C24" s="102" t="s">
        <v>865</v>
      </c>
      <c r="D24" s="101"/>
      <c r="E24" s="101">
        <v>0</v>
      </c>
      <c r="F24" s="101">
        <v>0</v>
      </c>
      <c r="G24" s="101">
        <v>0</v>
      </c>
      <c r="H24" s="101">
        <v>0</v>
      </c>
      <c r="I24" s="101">
        <v>61</v>
      </c>
      <c r="J24" s="101">
        <v>55</v>
      </c>
      <c r="K24" s="101">
        <v>20</v>
      </c>
      <c r="L24" s="101">
        <v>0</v>
      </c>
      <c r="M24" s="101">
        <v>0</v>
      </c>
      <c r="N24" s="101">
        <v>0</v>
      </c>
    </row>
    <row r="25" spans="2:14" s="98" customFormat="1" hidden="1" x14ac:dyDescent="0.25">
      <c r="B25" s="101" t="s">
        <v>794</v>
      </c>
      <c r="C25" s="102" t="s">
        <v>915</v>
      </c>
      <c r="D25" s="101"/>
      <c r="E25" s="101">
        <v>0</v>
      </c>
      <c r="F25" s="101">
        <v>0</v>
      </c>
      <c r="G25" s="101">
        <v>1</v>
      </c>
      <c r="H25" s="101">
        <v>1</v>
      </c>
      <c r="I25" s="101">
        <v>0</v>
      </c>
      <c r="J25" s="101">
        <v>0</v>
      </c>
      <c r="K25" s="101">
        <v>0</v>
      </c>
      <c r="L25" s="101">
        <v>0</v>
      </c>
      <c r="M25" s="101">
        <v>0</v>
      </c>
      <c r="N25" s="101">
        <v>0</v>
      </c>
    </row>
    <row r="26" spans="2:14" s="98" customFormat="1" x14ac:dyDescent="0.25">
      <c r="B26" s="101" t="s">
        <v>778</v>
      </c>
      <c r="C26" s="102" t="s">
        <v>916</v>
      </c>
      <c r="D26" s="101"/>
      <c r="E26" s="101">
        <v>0</v>
      </c>
      <c r="F26" s="101">
        <v>0</v>
      </c>
      <c r="G26" s="101">
        <v>0</v>
      </c>
      <c r="H26" s="101">
        <v>0</v>
      </c>
      <c r="I26" s="101">
        <v>0</v>
      </c>
      <c r="J26" s="101">
        <f>'3 lentelė'!N40+'3 lentelė'!T42</f>
        <v>0.58599999999999997</v>
      </c>
      <c r="K26" s="101">
        <v>0</v>
      </c>
      <c r="L26" s="101">
        <v>0</v>
      </c>
      <c r="M26" s="101">
        <v>0</v>
      </c>
      <c r="N26" s="101">
        <v>0</v>
      </c>
    </row>
    <row r="27" spans="2:14" s="98" customFormat="1" ht="26.25" hidden="1" x14ac:dyDescent="0.25">
      <c r="B27" s="101" t="s">
        <v>855</v>
      </c>
      <c r="C27" s="102" t="s">
        <v>856</v>
      </c>
      <c r="D27" s="101"/>
      <c r="E27" s="101">
        <v>0</v>
      </c>
      <c r="F27" s="101">
        <v>0</v>
      </c>
      <c r="G27" s="101">
        <v>0</v>
      </c>
      <c r="H27" s="101">
        <v>0</v>
      </c>
      <c r="I27" s="101">
        <v>0</v>
      </c>
      <c r="J27" s="101">
        <v>0</v>
      </c>
      <c r="K27" s="101">
        <v>1</v>
      </c>
      <c r="L27" s="101">
        <v>0</v>
      </c>
      <c r="M27" s="101">
        <v>0</v>
      </c>
      <c r="N27" s="101">
        <v>0</v>
      </c>
    </row>
    <row r="28" spans="2:14" s="98" customFormat="1" ht="39" hidden="1" x14ac:dyDescent="0.25">
      <c r="B28" s="101" t="s">
        <v>841</v>
      </c>
      <c r="C28" s="102" t="s">
        <v>917</v>
      </c>
      <c r="D28" s="101"/>
      <c r="E28" s="101">
        <v>0</v>
      </c>
      <c r="F28" s="101">
        <v>0</v>
      </c>
      <c r="G28" s="101">
        <v>0</v>
      </c>
      <c r="H28" s="101">
        <v>0</v>
      </c>
      <c r="I28" s="101">
        <v>0</v>
      </c>
      <c r="J28" s="101">
        <v>1</v>
      </c>
      <c r="K28" s="101">
        <v>1</v>
      </c>
      <c r="L28" s="101">
        <v>0</v>
      </c>
      <c r="M28" s="101">
        <v>0</v>
      </c>
      <c r="N28" s="101">
        <v>0</v>
      </c>
    </row>
    <row r="29" spans="2:14" s="98" customFormat="1" ht="26.25" hidden="1" x14ac:dyDescent="0.25">
      <c r="B29" s="101" t="s">
        <v>847</v>
      </c>
      <c r="C29" s="102" t="s">
        <v>918</v>
      </c>
      <c r="D29" s="101"/>
      <c r="E29" s="101">
        <v>0</v>
      </c>
      <c r="F29" s="101">
        <v>0</v>
      </c>
      <c r="G29" s="101">
        <v>0</v>
      </c>
      <c r="H29" s="101">
        <v>0</v>
      </c>
      <c r="I29" s="101">
        <v>0</v>
      </c>
      <c r="J29" s="101">
        <v>1</v>
      </c>
      <c r="K29" s="101">
        <v>2</v>
      </c>
      <c r="L29" s="101">
        <v>0</v>
      </c>
      <c r="M29" s="101">
        <v>0</v>
      </c>
      <c r="N29" s="101">
        <v>0</v>
      </c>
    </row>
    <row r="30" spans="2:14" s="98" customFormat="1" ht="26.25" hidden="1" x14ac:dyDescent="0.25">
      <c r="B30" s="101" t="s">
        <v>849</v>
      </c>
      <c r="C30" s="102" t="s">
        <v>850</v>
      </c>
      <c r="D30" s="101"/>
      <c r="E30" s="101">
        <v>0</v>
      </c>
      <c r="F30" s="101">
        <v>0</v>
      </c>
      <c r="G30" s="101">
        <v>0</v>
      </c>
      <c r="H30" s="101">
        <v>0</v>
      </c>
      <c r="I30" s="101">
        <v>0</v>
      </c>
      <c r="J30" s="101">
        <v>1</v>
      </c>
      <c r="K30" s="101">
        <v>1</v>
      </c>
      <c r="L30" s="101">
        <v>0</v>
      </c>
      <c r="M30" s="101">
        <v>0</v>
      </c>
      <c r="N30" s="101">
        <v>0</v>
      </c>
    </row>
    <row r="31" spans="2:14" s="98" customFormat="1" hidden="1" x14ac:dyDescent="0.25">
      <c r="B31" s="101" t="s">
        <v>804</v>
      </c>
      <c r="C31" s="102" t="s">
        <v>805</v>
      </c>
      <c r="D31" s="101"/>
      <c r="E31" s="101">
        <v>0</v>
      </c>
      <c r="F31" s="101">
        <v>0</v>
      </c>
      <c r="G31" s="101">
        <v>0</v>
      </c>
      <c r="H31" s="101">
        <v>0</v>
      </c>
      <c r="I31" s="101">
        <f>'3 lentelė'!N78</f>
        <v>86</v>
      </c>
      <c r="J31" s="101">
        <v>0</v>
      </c>
      <c r="K31" s="101">
        <f>'3 lentelė'!N79</f>
        <v>127</v>
      </c>
      <c r="L31" s="101">
        <v>0</v>
      </c>
      <c r="M31" s="101">
        <v>0</v>
      </c>
      <c r="N31" s="101">
        <v>0</v>
      </c>
    </row>
    <row r="32" spans="2:14" s="98" customFormat="1" hidden="1" x14ac:dyDescent="0.25">
      <c r="B32" s="101" t="s">
        <v>919</v>
      </c>
      <c r="C32" s="102" t="s">
        <v>877</v>
      </c>
      <c r="D32" s="101"/>
      <c r="E32" s="101">
        <v>0</v>
      </c>
      <c r="F32" s="101">
        <v>0</v>
      </c>
      <c r="G32" s="101">
        <v>0</v>
      </c>
      <c r="H32" s="101">
        <v>0</v>
      </c>
      <c r="I32" s="101">
        <v>0</v>
      </c>
      <c r="J32" s="101">
        <v>4</v>
      </c>
      <c r="K32" s="101">
        <v>0</v>
      </c>
      <c r="L32" s="101">
        <v>1</v>
      </c>
      <c r="M32" s="101">
        <v>0</v>
      </c>
      <c r="N32" s="101">
        <v>0</v>
      </c>
    </row>
    <row r="33" spans="2:14" s="98" customFormat="1" ht="51.75" hidden="1" x14ac:dyDescent="0.25">
      <c r="B33" s="101" t="s">
        <v>920</v>
      </c>
      <c r="C33" s="102" t="s">
        <v>921</v>
      </c>
      <c r="D33" s="101"/>
      <c r="E33" s="101">
        <v>0</v>
      </c>
      <c r="F33" s="101">
        <v>0</v>
      </c>
      <c r="G33" s="101">
        <v>0</v>
      </c>
      <c r="H33" s="101">
        <v>0</v>
      </c>
      <c r="I33" s="101">
        <v>0</v>
      </c>
      <c r="J33" s="101">
        <v>0</v>
      </c>
      <c r="K33" s="101">
        <v>0</v>
      </c>
      <c r="L33" s="101">
        <v>0</v>
      </c>
      <c r="M33" s="101">
        <v>0</v>
      </c>
      <c r="N33" s="101">
        <v>0</v>
      </c>
    </row>
    <row r="34" spans="2:14" s="98" customFormat="1" ht="26.25" hidden="1" x14ac:dyDescent="0.25">
      <c r="B34" s="101" t="s">
        <v>786</v>
      </c>
      <c r="C34" s="102" t="s">
        <v>787</v>
      </c>
      <c r="D34" s="101"/>
      <c r="E34" s="101">
        <v>0</v>
      </c>
      <c r="F34" s="101">
        <v>0</v>
      </c>
      <c r="G34" s="101">
        <v>0</v>
      </c>
      <c r="H34" s="101">
        <v>0</v>
      </c>
      <c r="I34" s="101">
        <v>0</v>
      </c>
      <c r="J34" s="101">
        <v>0.5</v>
      </c>
      <c r="K34" s="101">
        <v>1.06</v>
      </c>
      <c r="L34" s="101">
        <v>0</v>
      </c>
      <c r="M34" s="101">
        <v>0</v>
      </c>
      <c r="N34" s="101">
        <v>0</v>
      </c>
    </row>
    <row r="35" spans="2:14" s="98" customFormat="1" ht="26.25" hidden="1" x14ac:dyDescent="0.25">
      <c r="B35" s="101" t="s">
        <v>922</v>
      </c>
      <c r="C35" s="102" t="s">
        <v>790</v>
      </c>
      <c r="D35" s="101"/>
      <c r="E35" s="101">
        <v>0</v>
      </c>
      <c r="F35" s="101">
        <v>0</v>
      </c>
      <c r="G35" s="101">
        <v>0</v>
      </c>
      <c r="H35" s="101">
        <v>0</v>
      </c>
      <c r="I35" s="101">
        <v>0</v>
      </c>
      <c r="J35" s="101">
        <v>0.8</v>
      </c>
      <c r="K35" s="101">
        <v>0.8</v>
      </c>
      <c r="L35" s="101">
        <v>0</v>
      </c>
      <c r="M35" s="101">
        <v>0</v>
      </c>
      <c r="N35" s="101">
        <v>0</v>
      </c>
    </row>
    <row r="36" spans="2:14" s="98" customFormat="1" hidden="1" x14ac:dyDescent="0.25">
      <c r="B36" s="101" t="s">
        <v>923</v>
      </c>
      <c r="C36" s="102" t="s">
        <v>924</v>
      </c>
      <c r="D36" s="101"/>
      <c r="E36" s="101">
        <v>0</v>
      </c>
      <c r="F36" s="101">
        <v>0</v>
      </c>
      <c r="G36" s="101">
        <v>0</v>
      </c>
      <c r="H36" s="101">
        <v>0</v>
      </c>
      <c r="I36" s="101">
        <v>0</v>
      </c>
      <c r="J36" s="101">
        <v>0</v>
      </c>
      <c r="K36" s="101">
        <f>'3 lentelė'!N62+'3 lentelė'!N64</f>
        <v>3</v>
      </c>
      <c r="L36" s="101">
        <v>0</v>
      </c>
      <c r="M36" s="101">
        <v>0</v>
      </c>
      <c r="N36" s="101">
        <v>0</v>
      </c>
    </row>
    <row r="37" spans="2:14" s="98" customFormat="1" ht="26.25" hidden="1" x14ac:dyDescent="0.25">
      <c r="B37" s="101" t="s">
        <v>796</v>
      </c>
      <c r="C37" s="102" t="s">
        <v>925</v>
      </c>
      <c r="D37" s="101"/>
      <c r="E37" s="101">
        <v>0</v>
      </c>
      <c r="F37" s="101">
        <v>0</v>
      </c>
      <c r="G37" s="101">
        <v>0</v>
      </c>
      <c r="H37" s="101">
        <v>0</v>
      </c>
      <c r="I37" s="101">
        <v>0</v>
      </c>
      <c r="J37" s="101">
        <v>0</v>
      </c>
      <c r="K37" s="101">
        <f>'3 lentelė'!N67</f>
        <v>4</v>
      </c>
      <c r="L37" s="101">
        <v>0</v>
      </c>
      <c r="M37" s="101">
        <v>0</v>
      </c>
      <c r="N37" s="101">
        <v>0</v>
      </c>
    </row>
    <row r="38" spans="2:14" s="98" customFormat="1" ht="39" hidden="1" x14ac:dyDescent="0.25">
      <c r="B38" s="101" t="s">
        <v>819</v>
      </c>
      <c r="C38" s="102" t="s">
        <v>820</v>
      </c>
      <c r="D38" s="101"/>
      <c r="E38" s="101">
        <v>0</v>
      </c>
      <c r="F38" s="101">
        <v>0</v>
      </c>
      <c r="G38" s="101">
        <v>0</v>
      </c>
      <c r="H38" s="101">
        <v>0</v>
      </c>
      <c r="I38" s="101">
        <v>71.92</v>
      </c>
      <c r="J38" s="101">
        <v>52.58</v>
      </c>
      <c r="K38" s="101">
        <v>0</v>
      </c>
      <c r="L38" s="101">
        <v>0</v>
      </c>
      <c r="M38" s="101">
        <v>0</v>
      </c>
      <c r="N38" s="101">
        <v>0</v>
      </c>
    </row>
    <row r="39" spans="2:14" s="98" customFormat="1" ht="26.25" hidden="1" x14ac:dyDescent="0.25">
      <c r="B39" s="101" t="s">
        <v>824</v>
      </c>
      <c r="C39" s="102" t="s">
        <v>828</v>
      </c>
      <c r="D39" s="101"/>
      <c r="E39" s="101">
        <v>0</v>
      </c>
      <c r="F39" s="101">
        <v>0</v>
      </c>
      <c r="G39" s="101">
        <v>0</v>
      </c>
      <c r="H39" s="101">
        <v>0</v>
      </c>
      <c r="I39" s="101">
        <v>6069</v>
      </c>
      <c r="J39" s="101">
        <v>0</v>
      </c>
      <c r="K39" s="101">
        <v>0</v>
      </c>
      <c r="L39" s="101">
        <v>0</v>
      </c>
      <c r="M39" s="101">
        <v>0</v>
      </c>
      <c r="N39" s="101">
        <v>0</v>
      </c>
    </row>
    <row r="40" spans="2:14" s="98" customFormat="1" ht="26.25" hidden="1" x14ac:dyDescent="0.25">
      <c r="B40" s="101" t="s">
        <v>806</v>
      </c>
      <c r="C40" s="102" t="s">
        <v>807</v>
      </c>
      <c r="D40" s="101"/>
      <c r="E40" s="101">
        <v>0</v>
      </c>
      <c r="F40" s="101">
        <v>0</v>
      </c>
      <c r="G40" s="101">
        <v>0</v>
      </c>
      <c r="H40" s="101">
        <v>0</v>
      </c>
      <c r="I40" s="101">
        <f>'3 lentelė'!N85</f>
        <v>19.600000000000001</v>
      </c>
      <c r="J40" s="101">
        <f>'3 lentelė'!N83+'3 lentelė'!W86+'3 lentelė'!W87</f>
        <v>8.0399999999999991</v>
      </c>
      <c r="K40" s="101">
        <v>0</v>
      </c>
      <c r="L40" s="101">
        <f>'3 lentelė'!T93+'3 lentelė'!N89</f>
        <v>1.0370000000000001</v>
      </c>
      <c r="M40" s="101">
        <v>0</v>
      </c>
      <c r="N40" s="101">
        <v>0</v>
      </c>
    </row>
    <row r="41" spans="2:14" s="98" customFormat="1" ht="39" hidden="1" x14ac:dyDescent="0.25">
      <c r="B41" s="101" t="s">
        <v>798</v>
      </c>
      <c r="C41" s="102" t="s">
        <v>802</v>
      </c>
      <c r="D41" s="101"/>
      <c r="E41" s="101">
        <v>0</v>
      </c>
      <c r="F41" s="101">
        <v>0</v>
      </c>
      <c r="G41" s="101">
        <v>0</v>
      </c>
      <c r="H41" s="101">
        <v>0</v>
      </c>
      <c r="I41" s="101">
        <v>2</v>
      </c>
      <c r="J41" s="101">
        <v>2</v>
      </c>
      <c r="K41" s="101">
        <v>0</v>
      </c>
      <c r="L41" s="101">
        <v>0</v>
      </c>
      <c r="M41" s="101">
        <v>0</v>
      </c>
      <c r="N41" s="101">
        <v>0</v>
      </c>
    </row>
    <row r="42" spans="2:14" s="98" customFormat="1" ht="26.25" hidden="1" x14ac:dyDescent="0.25">
      <c r="B42" s="101" t="s">
        <v>835</v>
      </c>
      <c r="C42" s="102" t="s">
        <v>837</v>
      </c>
      <c r="D42" s="101"/>
      <c r="E42" s="101">
        <v>0</v>
      </c>
      <c r="F42" s="101">
        <v>0</v>
      </c>
      <c r="G42" s="101">
        <v>0</v>
      </c>
      <c r="H42" s="101">
        <v>0</v>
      </c>
      <c r="I42" s="101">
        <v>1</v>
      </c>
      <c r="J42" s="101">
        <v>0</v>
      </c>
      <c r="K42" s="101">
        <v>4</v>
      </c>
      <c r="L42" s="101">
        <v>1</v>
      </c>
      <c r="M42" s="101">
        <v>0</v>
      </c>
      <c r="N42" s="101">
        <v>0</v>
      </c>
    </row>
    <row r="43" spans="2:14" s="98" customFormat="1" ht="26.25" x14ac:dyDescent="0.25">
      <c r="B43" s="101" t="s">
        <v>781</v>
      </c>
      <c r="C43" s="102" t="s">
        <v>782</v>
      </c>
      <c r="D43" s="101"/>
      <c r="E43" s="101">
        <v>0</v>
      </c>
      <c r="F43" s="101">
        <v>0</v>
      </c>
      <c r="G43" s="101">
        <v>0</v>
      </c>
      <c r="H43" s="101">
        <v>0</v>
      </c>
      <c r="I43" s="101">
        <v>0</v>
      </c>
      <c r="J43" s="101">
        <f>'3 lentelė'!Q42+'3 lentelė'!Q43+'3 lentelė'!Q44</f>
        <v>6</v>
      </c>
      <c r="K43" s="101">
        <f>'3 lentelė'!Q45+'3 lentelė'!N50+'3 lentelė'!N52+'3 lentelė'!Q41</f>
        <v>4</v>
      </c>
      <c r="L43" s="101">
        <f>'3 lentelė'!N51</f>
        <v>1</v>
      </c>
      <c r="M43" s="101">
        <f>'3 lentelė'!Q48</f>
        <v>1</v>
      </c>
      <c r="N43" s="101">
        <v>0</v>
      </c>
    </row>
    <row r="44" spans="2:14" s="98" customFormat="1" ht="26.25" hidden="1" x14ac:dyDescent="0.25">
      <c r="B44" s="101" t="s">
        <v>862</v>
      </c>
      <c r="C44" s="102" t="s">
        <v>926</v>
      </c>
      <c r="D44" s="101"/>
      <c r="E44" s="101">
        <v>0</v>
      </c>
      <c r="F44" s="101">
        <v>0</v>
      </c>
      <c r="G44" s="101">
        <v>0</v>
      </c>
      <c r="H44" s="101">
        <v>0</v>
      </c>
      <c r="I44" s="101">
        <v>2</v>
      </c>
      <c r="J44" s="101">
        <v>1</v>
      </c>
      <c r="K44" s="101">
        <v>1</v>
      </c>
      <c r="L44" s="101">
        <v>0</v>
      </c>
      <c r="M44" s="101">
        <v>0</v>
      </c>
      <c r="N44" s="101">
        <v>0</v>
      </c>
    </row>
    <row r="45" spans="2:14" s="98" customFormat="1" hidden="1" x14ac:dyDescent="0.25">
      <c r="B45" s="101" t="s">
        <v>868</v>
      </c>
      <c r="C45" s="102" t="s">
        <v>869</v>
      </c>
      <c r="D45" s="101"/>
      <c r="E45" s="101">
        <v>0</v>
      </c>
      <c r="F45" s="101">
        <v>0</v>
      </c>
      <c r="G45" s="101">
        <v>0</v>
      </c>
      <c r="H45" s="101">
        <v>0</v>
      </c>
      <c r="I45" s="101">
        <v>20</v>
      </c>
      <c r="J45" s="101">
        <v>31</v>
      </c>
      <c r="K45" s="101">
        <v>44</v>
      </c>
      <c r="L45" s="101">
        <v>0</v>
      </c>
      <c r="M45" s="101">
        <v>0</v>
      </c>
      <c r="N45" s="101">
        <v>0</v>
      </c>
    </row>
    <row r="46" spans="2:14" s="98" customFormat="1" ht="39" hidden="1" x14ac:dyDescent="0.25">
      <c r="B46" s="101" t="s">
        <v>774</v>
      </c>
      <c r="C46" s="102" t="s">
        <v>775</v>
      </c>
      <c r="D46" s="101"/>
      <c r="E46" s="101">
        <v>0</v>
      </c>
      <c r="F46" s="101">
        <v>0</v>
      </c>
      <c r="G46" s="101">
        <v>0</v>
      </c>
      <c r="H46" s="101">
        <v>0</v>
      </c>
      <c r="I46" s="101">
        <v>0</v>
      </c>
      <c r="J46" s="101">
        <v>34500</v>
      </c>
      <c r="K46" s="101">
        <v>0</v>
      </c>
      <c r="L46" s="101">
        <v>0</v>
      </c>
      <c r="M46" s="101">
        <v>0</v>
      </c>
      <c r="N46" s="101">
        <v>0</v>
      </c>
    </row>
    <row r="47" spans="2:14" s="98" customFormat="1" ht="26.25" hidden="1" x14ac:dyDescent="0.25">
      <c r="B47" s="101" t="s">
        <v>776</v>
      </c>
      <c r="C47" s="102" t="s">
        <v>777</v>
      </c>
      <c r="D47" s="101"/>
      <c r="E47" s="101">
        <v>0</v>
      </c>
      <c r="F47" s="101">
        <v>0</v>
      </c>
      <c r="G47" s="101">
        <v>0</v>
      </c>
      <c r="H47" s="101">
        <v>0</v>
      </c>
      <c r="I47" s="101">
        <v>0</v>
      </c>
      <c r="J47" s="101">
        <v>58</v>
      </c>
      <c r="K47" s="101">
        <v>0</v>
      </c>
      <c r="L47" s="101">
        <v>0</v>
      </c>
      <c r="M47" s="101">
        <v>0</v>
      </c>
      <c r="N47" s="101">
        <v>0</v>
      </c>
    </row>
    <row r="48" spans="2:14" s="98" customFormat="1" ht="51.75" hidden="1" x14ac:dyDescent="0.25">
      <c r="B48" s="101" t="s">
        <v>853</v>
      </c>
      <c r="C48" s="102" t="s">
        <v>927</v>
      </c>
      <c r="D48" s="101"/>
      <c r="E48" s="101">
        <v>0</v>
      </c>
      <c r="F48" s="101">
        <v>0</v>
      </c>
      <c r="G48" s="101">
        <v>0</v>
      </c>
      <c r="H48" s="101">
        <v>0</v>
      </c>
      <c r="I48" s="101">
        <v>0</v>
      </c>
      <c r="J48" s="101">
        <f>'3 lentelė'!N160</f>
        <v>500</v>
      </c>
      <c r="K48" s="101">
        <f>'3 lentelė'!N159</f>
        <v>591</v>
      </c>
      <c r="L48" s="101">
        <f>'3 lentelė'!N155+'3 lentelė'!N158</f>
        <v>3514</v>
      </c>
      <c r="M48" s="101">
        <f>'3 lentelė'!N156+'3 lentelė'!N157</f>
        <v>4270</v>
      </c>
      <c r="N48" s="101">
        <v>0</v>
      </c>
    </row>
    <row r="49" spans="2:14" s="98" customFormat="1" ht="51.75" hidden="1" x14ac:dyDescent="0.25">
      <c r="B49" s="101" t="s">
        <v>928</v>
      </c>
      <c r="C49" s="102" t="s">
        <v>929</v>
      </c>
      <c r="D49" s="101"/>
      <c r="E49" s="101">
        <v>0</v>
      </c>
      <c r="F49" s="101">
        <v>0</v>
      </c>
      <c r="G49" s="101">
        <v>0</v>
      </c>
      <c r="H49" s="101">
        <v>0</v>
      </c>
      <c r="I49" s="101">
        <v>0</v>
      </c>
      <c r="J49" s="101">
        <v>0</v>
      </c>
      <c r="K49" s="101">
        <v>0</v>
      </c>
      <c r="L49" s="101">
        <v>0</v>
      </c>
      <c r="M49" s="101">
        <v>0</v>
      </c>
      <c r="N49" s="101">
        <v>0</v>
      </c>
    </row>
    <row r="50" spans="2:14" s="98" customFormat="1" ht="51.75" hidden="1" x14ac:dyDescent="0.25">
      <c r="B50" s="101" t="s">
        <v>872</v>
      </c>
      <c r="C50" s="102" t="s">
        <v>873</v>
      </c>
      <c r="D50" s="101"/>
      <c r="E50" s="101">
        <v>0</v>
      </c>
      <c r="F50" s="101">
        <v>0</v>
      </c>
      <c r="G50" s="101">
        <v>0</v>
      </c>
      <c r="H50" s="101">
        <v>0</v>
      </c>
      <c r="I50" s="101">
        <v>0</v>
      </c>
      <c r="J50" s="101">
        <v>33</v>
      </c>
      <c r="K50" s="101">
        <v>3</v>
      </c>
      <c r="L50" s="101">
        <v>2</v>
      </c>
      <c r="M50" s="101">
        <v>0</v>
      </c>
      <c r="N50" s="101">
        <v>0</v>
      </c>
    </row>
    <row r="51" spans="2:14" s="98" customFormat="1" ht="64.5" hidden="1" x14ac:dyDescent="0.25">
      <c r="B51" s="101" t="s">
        <v>874</v>
      </c>
      <c r="C51" s="102" t="s">
        <v>878</v>
      </c>
      <c r="D51" s="101"/>
      <c r="E51" s="101">
        <v>0</v>
      </c>
      <c r="F51" s="101">
        <v>0</v>
      </c>
      <c r="G51" s="101">
        <v>0</v>
      </c>
      <c r="H51" s="101">
        <v>0</v>
      </c>
      <c r="I51" s="101">
        <v>0</v>
      </c>
      <c r="J51" s="101">
        <v>90</v>
      </c>
      <c r="K51" s="101">
        <v>15</v>
      </c>
      <c r="L51" s="101">
        <v>20</v>
      </c>
      <c r="M51" s="101">
        <v>0</v>
      </c>
      <c r="N51" s="101">
        <v>0</v>
      </c>
    </row>
    <row r="52" spans="2:14" s="98" customFormat="1" ht="39" hidden="1" x14ac:dyDescent="0.25">
      <c r="B52" s="101" t="s">
        <v>833</v>
      </c>
      <c r="C52" s="102" t="s">
        <v>834</v>
      </c>
      <c r="D52" s="101"/>
      <c r="E52" s="101">
        <v>0</v>
      </c>
      <c r="F52" s="101">
        <v>0</v>
      </c>
      <c r="G52" s="101">
        <v>0</v>
      </c>
      <c r="H52" s="101">
        <v>0</v>
      </c>
      <c r="I52" s="101">
        <v>48.32</v>
      </c>
      <c r="J52" s="101">
        <v>2.2799999999999998</v>
      </c>
      <c r="K52" s="101">
        <v>70.489999999999995</v>
      </c>
      <c r="L52" s="101">
        <v>10</v>
      </c>
      <c r="M52" s="101">
        <v>0</v>
      </c>
      <c r="N52" s="101">
        <v>0</v>
      </c>
    </row>
    <row r="53" spans="2:14" s="53" customFormat="1" ht="26.25" hidden="1" x14ac:dyDescent="0.25">
      <c r="B53" s="51" t="s">
        <v>866</v>
      </c>
      <c r="C53" s="72" t="s">
        <v>867</v>
      </c>
      <c r="D53" s="51"/>
      <c r="E53" s="51">
        <v>0</v>
      </c>
      <c r="F53" s="51">
        <v>0</v>
      </c>
      <c r="G53" s="51">
        <v>0</v>
      </c>
      <c r="H53" s="51">
        <v>0</v>
      </c>
      <c r="I53" s="51">
        <v>42</v>
      </c>
      <c r="J53" s="51">
        <v>40</v>
      </c>
      <c r="K53" s="51">
        <v>16</v>
      </c>
      <c r="L53" s="51">
        <v>0</v>
      </c>
      <c r="M53" s="51">
        <v>0</v>
      </c>
      <c r="N53" s="51">
        <v>0</v>
      </c>
    </row>
    <row r="54" spans="2:14" s="53" customFormat="1" ht="26.25" hidden="1" x14ac:dyDescent="0.25">
      <c r="B54" s="51" t="s">
        <v>780</v>
      </c>
      <c r="C54" s="72" t="s">
        <v>930</v>
      </c>
      <c r="D54" s="51"/>
      <c r="E54" s="51">
        <v>0</v>
      </c>
      <c r="F54" s="51">
        <v>0</v>
      </c>
      <c r="G54" s="51">
        <v>0</v>
      </c>
      <c r="H54" s="51">
        <v>0</v>
      </c>
      <c r="I54" s="51">
        <v>0</v>
      </c>
      <c r="J54" s="51">
        <v>0</v>
      </c>
      <c r="K54" s="51">
        <v>0</v>
      </c>
      <c r="L54" s="51">
        <v>0</v>
      </c>
      <c r="M54" s="51">
        <v>0</v>
      </c>
      <c r="N54" s="51">
        <v>0</v>
      </c>
    </row>
    <row r="55" spans="2:14" s="53" customFormat="1" ht="39" hidden="1" x14ac:dyDescent="0.25">
      <c r="B55" s="51" t="s">
        <v>843</v>
      </c>
      <c r="C55" s="72" t="s">
        <v>844</v>
      </c>
      <c r="D55" s="51"/>
      <c r="E55" s="51">
        <v>0</v>
      </c>
      <c r="F55" s="51">
        <v>0</v>
      </c>
      <c r="G55" s="51">
        <v>0</v>
      </c>
      <c r="H55" s="51">
        <v>0</v>
      </c>
      <c r="I55" s="51">
        <v>0</v>
      </c>
      <c r="J55" s="51">
        <v>2</v>
      </c>
      <c r="K55" s="51">
        <v>4</v>
      </c>
      <c r="L55" s="51">
        <v>0</v>
      </c>
      <c r="M55" s="51">
        <v>0</v>
      </c>
      <c r="N55" s="51">
        <v>0</v>
      </c>
    </row>
    <row r="56" spans="2:14" s="53" customFormat="1" ht="26.25" hidden="1" x14ac:dyDescent="0.25">
      <c r="B56" s="51" t="s">
        <v>838</v>
      </c>
      <c r="C56" s="72" t="s">
        <v>839</v>
      </c>
      <c r="D56" s="51"/>
      <c r="E56" s="51">
        <v>0</v>
      </c>
      <c r="F56" s="51">
        <v>0</v>
      </c>
      <c r="G56" s="51">
        <v>0</v>
      </c>
      <c r="H56" s="51">
        <v>0</v>
      </c>
      <c r="I56" s="51">
        <v>0</v>
      </c>
      <c r="J56" s="51">
        <v>0</v>
      </c>
      <c r="K56" s="51">
        <v>0</v>
      </c>
      <c r="L56" s="51">
        <v>2</v>
      </c>
      <c r="M56" s="51">
        <v>0</v>
      </c>
      <c r="N56" s="51">
        <v>0</v>
      </c>
    </row>
    <row r="57" spans="2:14" s="53" customFormat="1" ht="64.5" hidden="1" x14ac:dyDescent="0.25">
      <c r="B57" s="51" t="s">
        <v>851</v>
      </c>
      <c r="C57" s="72" t="s">
        <v>942</v>
      </c>
      <c r="D57" s="51"/>
      <c r="E57" s="51">
        <v>0</v>
      </c>
      <c r="F57" s="51">
        <v>0</v>
      </c>
      <c r="G57" s="51">
        <v>0</v>
      </c>
      <c r="H57" s="51">
        <v>0</v>
      </c>
      <c r="I57" s="51">
        <v>60</v>
      </c>
      <c r="J57" s="51">
        <v>0</v>
      </c>
      <c r="K57" s="51">
        <v>0</v>
      </c>
      <c r="L57" s="51">
        <v>0</v>
      </c>
      <c r="M57" s="51">
        <v>41</v>
      </c>
      <c r="N57" s="51">
        <v>0</v>
      </c>
    </row>
    <row r="58" spans="2:14" s="53" customFormat="1" hidden="1" x14ac:dyDescent="0.25">
      <c r="B58" s="51" t="s">
        <v>940</v>
      </c>
      <c r="C58" s="72" t="s">
        <v>941</v>
      </c>
      <c r="D58" s="51"/>
      <c r="E58" s="51">
        <v>0</v>
      </c>
      <c r="F58" s="51">
        <v>0</v>
      </c>
      <c r="G58" s="51">
        <v>0</v>
      </c>
      <c r="H58" s="51">
        <v>0</v>
      </c>
      <c r="I58" s="51">
        <v>0</v>
      </c>
      <c r="J58" s="51">
        <v>0</v>
      </c>
      <c r="K58" s="51">
        <v>9</v>
      </c>
      <c r="L58" s="51">
        <v>0</v>
      </c>
      <c r="M58" s="51">
        <v>0</v>
      </c>
      <c r="N58" s="51">
        <v>0</v>
      </c>
    </row>
    <row r="59" spans="2:14" s="53" customFormat="1" ht="29.25" hidden="1" customHeight="1" x14ac:dyDescent="0.25">
      <c r="B59" s="101" t="s">
        <v>987</v>
      </c>
      <c r="C59" s="72" t="s">
        <v>988</v>
      </c>
      <c r="D59" s="85"/>
      <c r="E59" s="51">
        <v>0</v>
      </c>
      <c r="F59" s="51">
        <v>0</v>
      </c>
      <c r="G59" s="51">
        <v>0</v>
      </c>
      <c r="H59" s="51">
        <v>0</v>
      </c>
      <c r="I59" s="51">
        <v>0</v>
      </c>
      <c r="J59" s="51">
        <f>'3 lentelė'!N140+'3 lentelė'!N143+'3 lentelė'!N144</f>
        <v>22632</v>
      </c>
      <c r="K59" s="51">
        <f>'3 lentelė'!N138+'3 lentelė'!N139+'3 lentelė'!N141+'3 lentelė'!N145</f>
        <v>47540</v>
      </c>
      <c r="L59" s="51">
        <f>'3 lentelė'!N142</f>
        <v>19722</v>
      </c>
      <c r="M59" s="51">
        <v>0</v>
      </c>
      <c r="N59" s="51">
        <v>0</v>
      </c>
    </row>
    <row r="60" spans="2:14" s="53" customFormat="1" ht="51.75" hidden="1" x14ac:dyDescent="0.25">
      <c r="B60" s="51" t="s">
        <v>989</v>
      </c>
      <c r="C60" s="72" t="s">
        <v>990</v>
      </c>
      <c r="D60" s="85"/>
      <c r="E60" s="51">
        <v>0</v>
      </c>
      <c r="F60" s="51">
        <v>0</v>
      </c>
      <c r="G60" s="51">
        <v>0</v>
      </c>
      <c r="H60" s="51">
        <v>0</v>
      </c>
      <c r="I60" s="51">
        <v>0</v>
      </c>
      <c r="J60" s="51">
        <f>'3 lentelė'!Q140+'3 lentelė'!Q143+'3 lentelė'!Q144</f>
        <v>3</v>
      </c>
      <c r="K60" s="51">
        <f>'3 lentelė'!Q138+'3 lentelė'!Q139+'3 lentelė'!Q141+'3 lentelė'!Q145</f>
        <v>4</v>
      </c>
      <c r="L60" s="51">
        <f>'3 lentelė'!Q142</f>
        <v>1</v>
      </c>
      <c r="M60" s="51">
        <v>0</v>
      </c>
      <c r="N60" s="51">
        <v>0</v>
      </c>
    </row>
  </sheetData>
  <mergeCells count="4">
    <mergeCell ref="K1:N1"/>
    <mergeCell ref="K2:M2"/>
    <mergeCell ref="K3:M3"/>
    <mergeCell ref="B6:K6"/>
  </mergeCells>
  <pageMargins left="0.7" right="0.7" top="0.75" bottom="0.75" header="0.3" footer="0.3"/>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9"/>
  <sheetViews>
    <sheetView workbookViewId="0">
      <selection activeCell="J68" sqref="J68"/>
    </sheetView>
  </sheetViews>
  <sheetFormatPr defaultRowHeight="15" x14ac:dyDescent="0.25"/>
  <cols>
    <col min="1" max="2" width="9.140625" style="5"/>
    <col min="3" max="3" width="36.140625" style="5" customWidth="1"/>
    <col min="4" max="16384" width="9.140625" style="5"/>
  </cols>
  <sheetData>
    <row r="1" spans="2:15" ht="15.75" x14ac:dyDescent="0.25">
      <c r="K1" s="181" t="s">
        <v>140</v>
      </c>
      <c r="L1" s="181"/>
      <c r="M1" s="181"/>
      <c r="N1" s="181"/>
    </row>
    <row r="2" spans="2:15" ht="15.75" x14ac:dyDescent="0.25">
      <c r="K2" s="181" t="s">
        <v>24</v>
      </c>
      <c r="L2" s="181"/>
      <c r="M2" s="181"/>
      <c r="N2" s="48"/>
    </row>
    <row r="3" spans="2:15" ht="15.75" x14ac:dyDescent="0.25">
      <c r="K3" s="181" t="s">
        <v>943</v>
      </c>
      <c r="L3" s="181"/>
      <c r="M3" s="181"/>
      <c r="N3" s="48"/>
    </row>
    <row r="6" spans="2:15" ht="15.75" x14ac:dyDescent="0.25">
      <c r="B6" s="182" t="s">
        <v>944</v>
      </c>
      <c r="C6" s="182"/>
      <c r="D6" s="182"/>
      <c r="E6" s="182"/>
      <c r="F6" s="182"/>
      <c r="G6" s="182"/>
      <c r="H6" s="182"/>
      <c r="I6" s="182"/>
      <c r="J6" s="182"/>
      <c r="K6" s="182"/>
    </row>
    <row r="8" spans="2:15" ht="15.75" x14ac:dyDescent="0.25">
      <c r="B8" s="183" t="s">
        <v>947</v>
      </c>
      <c r="C8" s="183"/>
      <c r="D8" s="183"/>
      <c r="E8" s="183"/>
      <c r="F8" s="183"/>
      <c r="G8" s="183"/>
      <c r="H8" s="183"/>
      <c r="I8" s="183"/>
      <c r="J8" s="183"/>
      <c r="K8" s="183"/>
      <c r="L8" s="183"/>
      <c r="M8" s="183"/>
      <c r="N8" s="183"/>
    </row>
    <row r="10" spans="2:15" ht="15.75" x14ac:dyDescent="0.25">
      <c r="B10" s="50" t="s">
        <v>71</v>
      </c>
      <c r="C10" s="50" t="s">
        <v>946</v>
      </c>
      <c r="D10" s="50" t="s">
        <v>73</v>
      </c>
      <c r="E10" s="50">
        <v>2014</v>
      </c>
      <c r="F10" s="50">
        <v>2015</v>
      </c>
      <c r="G10" s="50">
        <v>2016</v>
      </c>
      <c r="H10" s="50">
        <v>2017</v>
      </c>
      <c r="I10" s="50">
        <v>2018</v>
      </c>
      <c r="J10" s="50">
        <v>2019</v>
      </c>
      <c r="K10" s="50">
        <v>2020</v>
      </c>
      <c r="L10" s="50">
        <v>2021</v>
      </c>
      <c r="M10" s="50">
        <v>2022</v>
      </c>
      <c r="N10" s="50">
        <v>2023</v>
      </c>
    </row>
    <row r="11" spans="2:15" ht="39" hidden="1" x14ac:dyDescent="0.25">
      <c r="B11" s="31" t="s">
        <v>800</v>
      </c>
      <c r="C11" s="49" t="s">
        <v>803</v>
      </c>
      <c r="D11" s="31"/>
      <c r="E11" s="31">
        <f>'S_4 lentelė'!E11</f>
        <v>0</v>
      </c>
      <c r="F11" s="31">
        <f>E11+'S_4 lentelė'!F11</f>
        <v>0</v>
      </c>
      <c r="G11" s="31">
        <f>F11+'S_4 lentelė'!G11</f>
        <v>0</v>
      </c>
      <c r="H11" s="31">
        <f>G11+'S_4 lentelė'!H11</f>
        <v>0</v>
      </c>
      <c r="I11" s="31">
        <f>H11+'S_4 lentelė'!I11</f>
        <v>3300</v>
      </c>
      <c r="J11" s="31">
        <f>I11+'S_4 lentelė'!J11</f>
        <v>3870</v>
      </c>
      <c r="K11" s="31">
        <f>J11+'S_4 lentelė'!K11</f>
        <v>3870</v>
      </c>
      <c r="L11" s="31">
        <f>K11+'S_4 lentelė'!L11</f>
        <v>3870</v>
      </c>
      <c r="M11" s="31">
        <f>L11+'S_4 lentelė'!M11</f>
        <v>3870</v>
      </c>
      <c r="N11" s="31">
        <f>M11+'S_4 lentelė'!N11</f>
        <v>3870</v>
      </c>
    </row>
    <row r="12" spans="2:15" ht="26.25" x14ac:dyDescent="0.25">
      <c r="B12" s="31" t="s">
        <v>783</v>
      </c>
      <c r="C12" s="49" t="s">
        <v>784</v>
      </c>
      <c r="D12" s="31"/>
      <c r="E12" s="31">
        <f>'S_4 lentelė'!E12</f>
        <v>0</v>
      </c>
      <c r="F12" s="31">
        <f>E12+'S_4 lentelė'!F12</f>
        <v>0</v>
      </c>
      <c r="G12" s="31">
        <f>F12+'S_4 lentelė'!G12</f>
        <v>0</v>
      </c>
      <c r="H12" s="31">
        <f>G12+'S_4 lentelė'!H12</f>
        <v>0</v>
      </c>
      <c r="I12" s="51">
        <f>H12+'S_4 lentelė'!I12</f>
        <v>0</v>
      </c>
      <c r="J12" s="51">
        <f>I12+'S_4 lentelė'!J12</f>
        <v>4.3090000000000002</v>
      </c>
      <c r="K12" s="51">
        <f>J12+'S_4 lentelė'!K12</f>
        <v>5.5720000000000001</v>
      </c>
      <c r="L12" s="51">
        <f>K12+'S_4 lentelė'!L12</f>
        <v>5.5720000000000001</v>
      </c>
      <c r="M12" s="51">
        <f>L12+'S_4 lentelė'!M12</f>
        <v>6.7720000000000002</v>
      </c>
      <c r="N12" s="51">
        <f>M12+'S_4 lentelė'!N12</f>
        <v>6.7720000000000002</v>
      </c>
      <c r="O12" s="87"/>
    </row>
    <row r="13" spans="2:15" ht="26.25" hidden="1" x14ac:dyDescent="0.25">
      <c r="B13" s="31" t="s">
        <v>845</v>
      </c>
      <c r="C13" s="49" t="s">
        <v>846</v>
      </c>
      <c r="D13" s="31"/>
      <c r="E13" s="31">
        <f>'S_4 lentelė'!E13</f>
        <v>0</v>
      </c>
      <c r="F13" s="31">
        <f>E13+'S_4 lentelė'!F13</f>
        <v>0</v>
      </c>
      <c r="G13" s="31">
        <f>F13+'S_4 lentelė'!G13</f>
        <v>0</v>
      </c>
      <c r="H13" s="31">
        <f>G13+'S_4 lentelė'!H13</f>
        <v>0</v>
      </c>
      <c r="I13" s="51">
        <f>H13+'S_4 lentelė'!I13</f>
        <v>0</v>
      </c>
      <c r="J13" s="51">
        <f>I13+'S_4 lentelė'!J13</f>
        <v>905</v>
      </c>
      <c r="K13" s="51">
        <f>J13+'S_4 lentelė'!K13</f>
        <v>2311</v>
      </c>
      <c r="L13" s="51">
        <f>K13+'S_4 lentelė'!L13</f>
        <v>2311</v>
      </c>
      <c r="M13" s="51">
        <f>L13+'S_4 lentelė'!M13</f>
        <v>2311</v>
      </c>
      <c r="N13" s="51">
        <f>M13+'S_4 lentelė'!N13</f>
        <v>2311</v>
      </c>
      <c r="O13" s="87"/>
    </row>
    <row r="14" spans="2:15" s="87" customFormat="1" ht="26.25" hidden="1" x14ac:dyDescent="0.25">
      <c r="B14" s="94" t="s">
        <v>767</v>
      </c>
      <c r="C14" s="103" t="s">
        <v>909</v>
      </c>
      <c r="D14" s="94"/>
      <c r="E14" s="94">
        <f>'S_4 lentelė'!E14</f>
        <v>0</v>
      </c>
      <c r="F14" s="94">
        <f>E14+'S_4 lentelė'!F14</f>
        <v>0</v>
      </c>
      <c r="G14" s="101">
        <f>F14+'S_4 lentelė'!G14</f>
        <v>0</v>
      </c>
      <c r="H14" s="101">
        <f>G14+'S_4 lentelė'!H14</f>
        <v>0</v>
      </c>
      <c r="I14" s="101">
        <f>H14+'S_4 lentelė'!I14</f>
        <v>248458</v>
      </c>
      <c r="J14" s="101">
        <f>I14+'S_4 lentelė'!J14</f>
        <v>462829</v>
      </c>
      <c r="K14" s="101">
        <f>J14+'S_4 lentelė'!K14</f>
        <v>825218.1</v>
      </c>
      <c r="L14" s="101">
        <f>K14+'S_4 lentelė'!L14</f>
        <v>825218.1</v>
      </c>
      <c r="M14" s="101">
        <f>L14+'S_4 lentelė'!M14</f>
        <v>847838.6</v>
      </c>
      <c r="N14" s="101">
        <f>M14+'S_4 lentelė'!N14</f>
        <v>847838.6</v>
      </c>
    </row>
    <row r="15" spans="2:15" s="87" customFormat="1" ht="26.25" hidden="1" x14ac:dyDescent="0.25">
      <c r="B15" s="94" t="s">
        <v>769</v>
      </c>
      <c r="C15" s="103" t="s">
        <v>910</v>
      </c>
      <c r="D15" s="94"/>
      <c r="E15" s="94">
        <f>'S_4 lentelė'!E15</f>
        <v>0</v>
      </c>
      <c r="F15" s="94">
        <f>E15+'S_4 lentelė'!F15</f>
        <v>0</v>
      </c>
      <c r="G15" s="101">
        <f>F15+'S_4 lentelė'!G15</f>
        <v>0</v>
      </c>
      <c r="H15" s="101">
        <f>G15+'S_4 lentelė'!H15</f>
        <v>0</v>
      </c>
      <c r="I15" s="101">
        <f>H15+'S_4 lentelė'!I15</f>
        <v>800</v>
      </c>
      <c r="J15" s="101">
        <f>I15+'S_4 lentelė'!J15</f>
        <v>1640</v>
      </c>
      <c r="K15" s="101">
        <f>J15+'S_4 lentelė'!K15</f>
        <v>2140</v>
      </c>
      <c r="L15" s="101">
        <f>K15+'S_4 lentelė'!L15</f>
        <v>2140</v>
      </c>
      <c r="M15" s="101">
        <f>L15+'S_4 lentelė'!M15</f>
        <v>2140</v>
      </c>
      <c r="N15" s="101">
        <f>M15+'S_4 lentelė'!N15</f>
        <v>2140</v>
      </c>
    </row>
    <row r="16" spans="2:15" s="87" customFormat="1" ht="26.25" hidden="1" x14ac:dyDescent="0.25">
      <c r="B16" s="94" t="s">
        <v>821</v>
      </c>
      <c r="C16" s="103" t="s">
        <v>822</v>
      </c>
      <c r="D16" s="94"/>
      <c r="E16" s="94">
        <f>'S_4 lentelė'!E16</f>
        <v>0</v>
      </c>
      <c r="F16" s="94">
        <f>E16+'S_4 lentelė'!F16</f>
        <v>0</v>
      </c>
      <c r="G16" s="101">
        <f>F16+'S_4 lentelė'!G16</f>
        <v>0</v>
      </c>
      <c r="H16" s="101">
        <f>G16+'S_4 lentelė'!H16</f>
        <v>0</v>
      </c>
      <c r="I16" s="101">
        <f>H16+'S_4 lentelė'!I16</f>
        <v>0</v>
      </c>
      <c r="J16" s="101">
        <f>I16+'S_4 lentelė'!J16</f>
        <v>20.25</v>
      </c>
      <c r="K16" s="101">
        <f>J16+'S_4 lentelė'!K16</f>
        <v>20.25</v>
      </c>
      <c r="L16" s="101">
        <f>K16+'S_4 lentelė'!L16</f>
        <v>20.25</v>
      </c>
      <c r="M16" s="101">
        <f>L16+'S_4 lentelė'!M16</f>
        <v>20.25</v>
      </c>
      <c r="N16" s="101">
        <f>M16+'S_4 lentelė'!N16</f>
        <v>20.25</v>
      </c>
    </row>
    <row r="17" spans="2:15" s="87" customFormat="1" ht="39" x14ac:dyDescent="0.25">
      <c r="B17" s="94" t="s">
        <v>808</v>
      </c>
      <c r="C17" s="103" t="s">
        <v>817</v>
      </c>
      <c r="D17" s="94"/>
      <c r="E17" s="94">
        <f>'S_4 lentelė'!E17</f>
        <v>0</v>
      </c>
      <c r="F17" s="94">
        <f>E17+'S_4 lentelė'!F17</f>
        <v>0</v>
      </c>
      <c r="G17" s="101">
        <f>F17+'S_4 lentelė'!G17</f>
        <v>0</v>
      </c>
      <c r="H17" s="101">
        <f>G17+'S_4 lentelė'!H17</f>
        <v>0</v>
      </c>
      <c r="I17" s="101">
        <f>H17+'S_4 lentelė'!I17</f>
        <v>0</v>
      </c>
      <c r="J17" s="101">
        <f>I17+'S_4 lentelė'!J17</f>
        <v>1014</v>
      </c>
      <c r="K17" s="101">
        <f>J17+'S_4 lentelė'!K17</f>
        <v>1302</v>
      </c>
      <c r="L17" s="101">
        <f>K17+'S_4 lentelė'!L17</f>
        <v>1487</v>
      </c>
      <c r="M17" s="101">
        <f>L17+'S_4 lentelė'!M17</f>
        <v>1531</v>
      </c>
      <c r="N17" s="101">
        <f>M17+'S_4 lentelė'!N17</f>
        <v>1531</v>
      </c>
      <c r="O17" s="98"/>
    </row>
    <row r="18" spans="2:15" s="87" customFormat="1" ht="51.75" hidden="1" x14ac:dyDescent="0.25">
      <c r="B18" s="94" t="s">
        <v>810</v>
      </c>
      <c r="C18" s="103" t="s">
        <v>911</v>
      </c>
      <c r="D18" s="94"/>
      <c r="E18" s="94">
        <f>'S_4 lentelė'!E18</f>
        <v>0</v>
      </c>
      <c r="F18" s="94">
        <f>E18+'S_4 lentelė'!F18</f>
        <v>0</v>
      </c>
      <c r="G18" s="101">
        <f>F18+'S_4 lentelė'!G18</f>
        <v>0</v>
      </c>
      <c r="H18" s="101">
        <f>G18+'S_4 lentelė'!H18</f>
        <v>0</v>
      </c>
      <c r="I18" s="101">
        <f>H18+'S_4 lentelė'!I18</f>
        <v>0</v>
      </c>
      <c r="J18" s="101">
        <f>I18+'S_4 lentelė'!J18</f>
        <v>1032</v>
      </c>
      <c r="K18" s="101">
        <f>J18+'S_4 lentelė'!K18</f>
        <v>1032</v>
      </c>
      <c r="L18" s="101">
        <f>K18+'S_4 lentelė'!L18</f>
        <v>1185</v>
      </c>
      <c r="M18" s="101">
        <f>L18+'S_4 lentelė'!M18</f>
        <v>1185</v>
      </c>
      <c r="N18" s="101">
        <f>M18+'S_4 lentelė'!N18</f>
        <v>1185</v>
      </c>
      <c r="O18" s="98"/>
    </row>
    <row r="19" spans="2:15" s="87" customFormat="1" ht="39" x14ac:dyDescent="0.25">
      <c r="B19" s="94" t="s">
        <v>812</v>
      </c>
      <c r="C19" s="103" t="s">
        <v>912</v>
      </c>
      <c r="D19" s="94"/>
      <c r="E19" s="94">
        <f>'S_4 lentelė'!E19</f>
        <v>0</v>
      </c>
      <c r="F19" s="94">
        <f>E19+'S_4 lentelė'!F19</f>
        <v>0</v>
      </c>
      <c r="G19" s="101">
        <f>F19+'S_4 lentelė'!G19</f>
        <v>0</v>
      </c>
      <c r="H19" s="101">
        <f>G19+'S_4 lentelė'!H19</f>
        <v>0</v>
      </c>
      <c r="I19" s="101">
        <f>H19+'S_4 lentelė'!I19</f>
        <v>0</v>
      </c>
      <c r="J19" s="101">
        <f>I19+'S_4 lentelė'!J19</f>
        <v>1502</v>
      </c>
      <c r="K19" s="101">
        <f>J19+'S_4 lentelė'!K19</f>
        <v>1790</v>
      </c>
      <c r="L19" s="101">
        <f>K19+'S_4 lentelė'!L19</f>
        <v>2050</v>
      </c>
      <c r="M19" s="101">
        <f>L19+'S_4 lentelė'!M19</f>
        <v>2143</v>
      </c>
      <c r="N19" s="101">
        <f>M19+'S_4 lentelė'!N19</f>
        <v>2143</v>
      </c>
      <c r="O19" s="98"/>
    </row>
    <row r="20" spans="2:15" s="87" customFormat="1" ht="39" hidden="1" x14ac:dyDescent="0.25">
      <c r="B20" s="94" t="s">
        <v>814</v>
      </c>
      <c r="C20" s="103" t="s">
        <v>816</v>
      </c>
      <c r="D20" s="94"/>
      <c r="E20" s="94">
        <f>'S_4 lentelė'!E20</f>
        <v>0</v>
      </c>
      <c r="F20" s="94">
        <f>E20+'S_4 lentelė'!F20</f>
        <v>0</v>
      </c>
      <c r="G20" s="101">
        <f>F20+'S_4 lentelė'!G20</f>
        <v>0</v>
      </c>
      <c r="H20" s="101">
        <f>G20+'S_4 lentelė'!H20</f>
        <v>0</v>
      </c>
      <c r="I20" s="101">
        <f>H20+'S_4 lentelė'!I20</f>
        <v>0</v>
      </c>
      <c r="J20" s="101">
        <f>I20+'S_4 lentelė'!J20</f>
        <v>613</v>
      </c>
      <c r="K20" s="101">
        <f>J20+'S_4 lentelė'!K20</f>
        <v>613</v>
      </c>
      <c r="L20" s="101">
        <f>K20+'S_4 lentelė'!L20</f>
        <v>828</v>
      </c>
      <c r="M20" s="101">
        <f>L20+'S_4 lentelė'!M20</f>
        <v>828</v>
      </c>
      <c r="N20" s="101">
        <f>M20+'S_4 lentelė'!N20</f>
        <v>828</v>
      </c>
      <c r="O20" s="98"/>
    </row>
    <row r="21" spans="2:15" s="87" customFormat="1" ht="51.75" hidden="1" x14ac:dyDescent="0.25">
      <c r="B21" s="94" t="s">
        <v>829</v>
      </c>
      <c r="C21" s="103" t="s">
        <v>913</v>
      </c>
      <c r="D21" s="94"/>
      <c r="E21" s="94">
        <f>'S_4 lentelė'!E21</f>
        <v>0</v>
      </c>
      <c r="F21" s="94">
        <f>E21+'S_4 lentelė'!F21</f>
        <v>0</v>
      </c>
      <c r="G21" s="101">
        <f>F21+'S_4 lentelė'!G21</f>
        <v>0</v>
      </c>
      <c r="H21" s="101">
        <f>G21+'S_4 lentelė'!H21</f>
        <v>0</v>
      </c>
      <c r="I21" s="101">
        <f>H21+'S_4 lentelė'!I21</f>
        <v>0</v>
      </c>
      <c r="J21" s="101">
        <f>I21+'S_4 lentelė'!J21</f>
        <v>0</v>
      </c>
      <c r="K21" s="101">
        <f>J21+'S_4 lentelė'!K21</f>
        <v>2</v>
      </c>
      <c r="L21" s="101">
        <f>K21+'S_4 lentelė'!L21</f>
        <v>5</v>
      </c>
      <c r="M21" s="101">
        <f>L21+'S_4 lentelė'!M21</f>
        <v>5</v>
      </c>
      <c r="N21" s="101">
        <f>M21+'S_4 lentelė'!N21</f>
        <v>5</v>
      </c>
      <c r="O21" s="98"/>
    </row>
    <row r="22" spans="2:15" s="87" customFormat="1" ht="26.25" hidden="1" x14ac:dyDescent="0.25">
      <c r="B22" s="94" t="s">
        <v>831</v>
      </c>
      <c r="C22" s="102" t="s">
        <v>832</v>
      </c>
      <c r="D22" s="101"/>
      <c r="E22" s="101">
        <f>'S_4 lentelė'!E22</f>
        <v>0</v>
      </c>
      <c r="F22" s="101">
        <f>E22+'S_4 lentelė'!F22</f>
        <v>0</v>
      </c>
      <c r="G22" s="101">
        <f>F22+'S_4 lentelė'!G22</f>
        <v>0</v>
      </c>
      <c r="H22" s="101">
        <f>G22+'S_4 lentelė'!H22</f>
        <v>0</v>
      </c>
      <c r="I22" s="101">
        <f>H22+'S_4 lentelė'!I22</f>
        <v>68</v>
      </c>
      <c r="J22" s="101">
        <f>I22+'S_4 lentelė'!J22</f>
        <v>97</v>
      </c>
      <c r="K22" s="101">
        <f>J22+'S_4 lentelė'!K22</f>
        <v>141</v>
      </c>
      <c r="L22" s="101">
        <f>K22+'S_4 lentelė'!L22</f>
        <v>170</v>
      </c>
      <c r="M22" s="101">
        <f>L22+'S_4 lentelė'!M22</f>
        <v>170</v>
      </c>
      <c r="N22" s="101">
        <f>M22+'S_4 lentelė'!N22</f>
        <v>170</v>
      </c>
      <c r="O22" s="98"/>
    </row>
    <row r="23" spans="2:15" ht="26.25" hidden="1" x14ac:dyDescent="0.25">
      <c r="B23" s="31" t="s">
        <v>870</v>
      </c>
      <c r="C23" s="49" t="s">
        <v>914</v>
      </c>
      <c r="D23" s="31"/>
      <c r="E23" s="31">
        <f>'S_4 lentelė'!E23</f>
        <v>0</v>
      </c>
      <c r="F23" s="31">
        <f>E23+'S_4 lentelė'!F23</f>
        <v>0</v>
      </c>
      <c r="G23" s="51">
        <f>F23+'S_4 lentelė'!G23</f>
        <v>0</v>
      </c>
      <c r="H23" s="51">
        <f>G23+'S_4 lentelė'!H23</f>
        <v>0</v>
      </c>
      <c r="I23" s="51">
        <f>H23+'S_4 lentelė'!I23</f>
        <v>5</v>
      </c>
      <c r="J23" s="51">
        <f>I23+'S_4 lentelė'!J23</f>
        <v>6</v>
      </c>
      <c r="K23" s="51">
        <f>J23+'S_4 lentelė'!K23</f>
        <v>6</v>
      </c>
      <c r="L23" s="51">
        <f>K23+'S_4 lentelė'!L23</f>
        <v>6</v>
      </c>
      <c r="M23" s="51">
        <f>L23+'S_4 lentelė'!M23</f>
        <v>6</v>
      </c>
      <c r="N23" s="51">
        <f>M23+'S_4 lentelė'!N23</f>
        <v>6</v>
      </c>
      <c r="O23" s="98"/>
    </row>
    <row r="24" spans="2:15" ht="39" hidden="1" x14ac:dyDescent="0.25">
      <c r="B24" s="31" t="s">
        <v>864</v>
      </c>
      <c r="C24" s="49" t="s">
        <v>865</v>
      </c>
      <c r="D24" s="31"/>
      <c r="E24" s="31">
        <f>'S_4 lentelė'!E24</f>
        <v>0</v>
      </c>
      <c r="F24" s="31">
        <f>E24+'S_4 lentelė'!F24</f>
        <v>0</v>
      </c>
      <c r="G24" s="51">
        <f>F24+'S_4 lentelė'!G24</f>
        <v>0</v>
      </c>
      <c r="H24" s="51">
        <f>G24+'S_4 lentelė'!H24</f>
        <v>0</v>
      </c>
      <c r="I24" s="51">
        <f>H24+'S_4 lentelė'!I24</f>
        <v>61</v>
      </c>
      <c r="J24" s="51">
        <f>I24+'S_4 lentelė'!J24</f>
        <v>116</v>
      </c>
      <c r="K24" s="51">
        <f>J24+'S_4 lentelė'!K24</f>
        <v>136</v>
      </c>
      <c r="L24" s="51">
        <f>K24+'S_4 lentelė'!L24</f>
        <v>136</v>
      </c>
      <c r="M24" s="51">
        <f>L24+'S_4 lentelė'!M24</f>
        <v>136</v>
      </c>
      <c r="N24" s="51">
        <f>M24+'S_4 lentelė'!N24</f>
        <v>136</v>
      </c>
      <c r="O24" s="98"/>
    </row>
    <row r="25" spans="2:15" s="87" customFormat="1" hidden="1" x14ac:dyDescent="0.25">
      <c r="B25" s="101" t="s">
        <v>794</v>
      </c>
      <c r="C25" s="103" t="s">
        <v>915</v>
      </c>
      <c r="D25" s="94"/>
      <c r="E25" s="94">
        <f>'S_4 lentelė'!E25</f>
        <v>0</v>
      </c>
      <c r="F25" s="94">
        <f>E25+'S_4 lentelė'!F25</f>
        <v>0</v>
      </c>
      <c r="G25" s="101">
        <f>F25+'S_4 lentelė'!G25</f>
        <v>1</v>
      </c>
      <c r="H25" s="101">
        <f>G25+'S_4 lentelė'!H25</f>
        <v>2</v>
      </c>
      <c r="I25" s="101">
        <f>H25+'S_4 lentelė'!I25</f>
        <v>2</v>
      </c>
      <c r="J25" s="101">
        <f>I25+'S_4 lentelė'!J25</f>
        <v>2</v>
      </c>
      <c r="K25" s="101">
        <f>J25+'S_4 lentelė'!K25</f>
        <v>2</v>
      </c>
      <c r="L25" s="101">
        <f>K25+'S_4 lentelė'!L25</f>
        <v>2</v>
      </c>
      <c r="M25" s="101">
        <f>L25+'S_4 lentelė'!M25</f>
        <v>2</v>
      </c>
      <c r="N25" s="101">
        <f>M25+'S_4 lentelė'!N25</f>
        <v>2</v>
      </c>
      <c r="O25" s="98"/>
    </row>
    <row r="26" spans="2:15" s="87" customFormat="1" x14ac:dyDescent="0.25">
      <c r="B26" s="94" t="s">
        <v>778</v>
      </c>
      <c r="C26" s="103" t="s">
        <v>916</v>
      </c>
      <c r="D26" s="94"/>
      <c r="E26" s="94">
        <f>'S_4 lentelė'!E26</f>
        <v>0</v>
      </c>
      <c r="F26" s="94">
        <f>E26+'S_4 lentelė'!F26</f>
        <v>0</v>
      </c>
      <c r="G26" s="101">
        <f>F26+'S_4 lentelė'!G26</f>
        <v>0</v>
      </c>
      <c r="H26" s="101">
        <f>G26+'S_4 lentelė'!H26</f>
        <v>0</v>
      </c>
      <c r="I26" s="101">
        <f>H26+'S_4 lentelė'!I26</f>
        <v>0</v>
      </c>
      <c r="J26" s="101">
        <f>I26+'S_4 lentelė'!J26</f>
        <v>0.58599999999999997</v>
      </c>
      <c r="K26" s="101">
        <f>J26+'S_4 lentelė'!K26</f>
        <v>0.58599999999999997</v>
      </c>
      <c r="L26" s="101">
        <f>K26+'S_4 lentelė'!L26</f>
        <v>0.58599999999999997</v>
      </c>
      <c r="M26" s="101">
        <f>L26+'S_4 lentelė'!M26</f>
        <v>0.58599999999999997</v>
      </c>
      <c r="N26" s="101">
        <f>M26+'S_4 lentelė'!N26</f>
        <v>0.58599999999999997</v>
      </c>
      <c r="O26" s="98"/>
    </row>
    <row r="27" spans="2:15" s="87" customFormat="1" ht="26.25" hidden="1" x14ac:dyDescent="0.25">
      <c r="B27" s="94" t="s">
        <v>855</v>
      </c>
      <c r="C27" s="103" t="s">
        <v>856</v>
      </c>
      <c r="D27" s="94"/>
      <c r="E27" s="94">
        <f>'S_4 lentelė'!E27</f>
        <v>0</v>
      </c>
      <c r="F27" s="94">
        <f>E27+'S_4 lentelė'!F27</f>
        <v>0</v>
      </c>
      <c r="G27" s="101">
        <f>F27+'S_4 lentelė'!G27</f>
        <v>0</v>
      </c>
      <c r="H27" s="101">
        <f>G27+'S_4 lentelė'!H27</f>
        <v>0</v>
      </c>
      <c r="I27" s="101">
        <f>H27+'S_4 lentelė'!I27</f>
        <v>0</v>
      </c>
      <c r="J27" s="101">
        <f>I27+'S_4 lentelė'!J27</f>
        <v>0</v>
      </c>
      <c r="K27" s="101">
        <f>J27+'S_4 lentelė'!K27</f>
        <v>1</v>
      </c>
      <c r="L27" s="101">
        <f>K27+'S_4 lentelė'!L27</f>
        <v>1</v>
      </c>
      <c r="M27" s="101">
        <f>L27+'S_4 lentelė'!M27</f>
        <v>1</v>
      </c>
      <c r="N27" s="101">
        <f>M27+'S_4 lentelė'!N27</f>
        <v>1</v>
      </c>
      <c r="O27" s="98"/>
    </row>
    <row r="28" spans="2:15" s="87" customFormat="1" ht="39" hidden="1" x14ac:dyDescent="0.25">
      <c r="B28" s="94" t="s">
        <v>841</v>
      </c>
      <c r="C28" s="103" t="s">
        <v>917</v>
      </c>
      <c r="D28" s="94"/>
      <c r="E28" s="94">
        <f>'S_4 lentelė'!E28</f>
        <v>0</v>
      </c>
      <c r="F28" s="94">
        <f>E28+'S_4 lentelė'!F28</f>
        <v>0</v>
      </c>
      <c r="G28" s="101">
        <f>F28+'S_4 lentelė'!G28</f>
        <v>0</v>
      </c>
      <c r="H28" s="101">
        <f>G28+'S_4 lentelė'!H28</f>
        <v>0</v>
      </c>
      <c r="I28" s="101">
        <f>H28+'S_4 lentelė'!I28</f>
        <v>0</v>
      </c>
      <c r="J28" s="101">
        <f>I28+'S_4 lentelė'!J28</f>
        <v>1</v>
      </c>
      <c r="K28" s="101">
        <f>J28+'S_4 lentelė'!K28</f>
        <v>2</v>
      </c>
      <c r="L28" s="101">
        <f>K28+'S_4 lentelė'!L28</f>
        <v>2</v>
      </c>
      <c r="M28" s="101">
        <f>L28+'S_4 lentelė'!M28</f>
        <v>2</v>
      </c>
      <c r="N28" s="101">
        <f>M28+'S_4 lentelė'!N28</f>
        <v>2</v>
      </c>
      <c r="O28" s="98"/>
    </row>
    <row r="29" spans="2:15" s="87" customFormat="1" ht="26.25" hidden="1" x14ac:dyDescent="0.25">
      <c r="B29" s="94" t="s">
        <v>847</v>
      </c>
      <c r="C29" s="103" t="s">
        <v>918</v>
      </c>
      <c r="D29" s="94"/>
      <c r="E29" s="94">
        <f>'S_4 lentelė'!E29</f>
        <v>0</v>
      </c>
      <c r="F29" s="94">
        <f>E29+'S_4 lentelė'!F29</f>
        <v>0</v>
      </c>
      <c r="G29" s="101">
        <f>F29+'S_4 lentelė'!G29</f>
        <v>0</v>
      </c>
      <c r="H29" s="101">
        <f>G29+'S_4 lentelė'!H29</f>
        <v>0</v>
      </c>
      <c r="I29" s="101">
        <f>H29+'S_4 lentelė'!I29</f>
        <v>0</v>
      </c>
      <c r="J29" s="101">
        <f>I29+'S_4 lentelė'!J29</f>
        <v>1</v>
      </c>
      <c r="K29" s="101">
        <f>J29+'S_4 lentelė'!K29</f>
        <v>3</v>
      </c>
      <c r="L29" s="101">
        <f>K29+'S_4 lentelė'!L29</f>
        <v>3</v>
      </c>
      <c r="M29" s="101">
        <f>L29+'S_4 lentelė'!M29</f>
        <v>3</v>
      </c>
      <c r="N29" s="101">
        <f>M29+'S_4 lentelė'!N29</f>
        <v>3</v>
      </c>
      <c r="O29" s="98"/>
    </row>
    <row r="30" spans="2:15" s="87" customFormat="1" ht="26.25" hidden="1" x14ac:dyDescent="0.25">
      <c r="B30" s="94" t="s">
        <v>849</v>
      </c>
      <c r="C30" s="103" t="s">
        <v>850</v>
      </c>
      <c r="D30" s="94"/>
      <c r="E30" s="94">
        <f>'S_4 lentelė'!E30</f>
        <v>0</v>
      </c>
      <c r="F30" s="94">
        <f>E30+'S_4 lentelė'!F30</f>
        <v>0</v>
      </c>
      <c r="G30" s="101">
        <f>F30+'S_4 lentelė'!G30</f>
        <v>0</v>
      </c>
      <c r="H30" s="101">
        <f>G30+'S_4 lentelė'!H30</f>
        <v>0</v>
      </c>
      <c r="I30" s="101">
        <f>H30+'S_4 lentelė'!I30</f>
        <v>0</v>
      </c>
      <c r="J30" s="101">
        <f>I30+'S_4 lentelė'!J30</f>
        <v>1</v>
      </c>
      <c r="K30" s="101">
        <f>J30+'S_4 lentelė'!K30</f>
        <v>2</v>
      </c>
      <c r="L30" s="101">
        <f>K30+'S_4 lentelė'!L30</f>
        <v>2</v>
      </c>
      <c r="M30" s="101">
        <f>L30+'S_4 lentelė'!M30</f>
        <v>2</v>
      </c>
      <c r="N30" s="101">
        <f>M30+'S_4 lentelė'!N30</f>
        <v>2</v>
      </c>
      <c r="O30" s="98"/>
    </row>
    <row r="31" spans="2:15" s="87" customFormat="1" hidden="1" x14ac:dyDescent="0.25">
      <c r="B31" s="101" t="s">
        <v>804</v>
      </c>
      <c r="C31" s="102" t="s">
        <v>805</v>
      </c>
      <c r="D31" s="108"/>
      <c r="E31" s="101">
        <f>'S_4 lentelė'!E31</f>
        <v>0</v>
      </c>
      <c r="F31" s="101">
        <f>E31+'S_4 lentelė'!F31</f>
        <v>0</v>
      </c>
      <c r="G31" s="101">
        <f>F31+'S_4 lentelė'!G31</f>
        <v>0</v>
      </c>
      <c r="H31" s="101">
        <f>G31+'S_4 lentelė'!H31</f>
        <v>0</v>
      </c>
      <c r="I31" s="101">
        <f>H31+'S_4 lentelė'!I31</f>
        <v>86</v>
      </c>
      <c r="J31" s="101">
        <f>I31+'S_4 lentelė'!J31</f>
        <v>86</v>
      </c>
      <c r="K31" s="101">
        <f>J31+'S_4 lentelė'!K31</f>
        <v>213</v>
      </c>
      <c r="L31" s="101">
        <f>K31+'S_4 lentelė'!L31</f>
        <v>213</v>
      </c>
      <c r="M31" s="101">
        <f>L31+'S_4 lentelė'!M31</f>
        <v>213</v>
      </c>
      <c r="N31" s="101">
        <f>M31+'S_4 lentelė'!N31</f>
        <v>213</v>
      </c>
      <c r="O31" s="98"/>
    </row>
    <row r="32" spans="2:15" s="87" customFormat="1" hidden="1" x14ac:dyDescent="0.25">
      <c r="B32" s="101" t="s">
        <v>919</v>
      </c>
      <c r="C32" s="102" t="s">
        <v>877</v>
      </c>
      <c r="D32" s="108"/>
      <c r="E32" s="101">
        <f>'S_4 lentelė'!E32</f>
        <v>0</v>
      </c>
      <c r="F32" s="101">
        <f>E32+'S_4 lentelė'!F32</f>
        <v>0</v>
      </c>
      <c r="G32" s="101">
        <f>F32+'S_4 lentelė'!G32</f>
        <v>0</v>
      </c>
      <c r="H32" s="101">
        <f>G32+'S_4 lentelė'!H32</f>
        <v>0</v>
      </c>
      <c r="I32" s="101">
        <f>H32+'S_4 lentelė'!I32</f>
        <v>0</v>
      </c>
      <c r="J32" s="101">
        <f>I32+'S_4 lentelė'!J32</f>
        <v>4</v>
      </c>
      <c r="K32" s="101">
        <f>J32+'S_4 lentelė'!K32</f>
        <v>4</v>
      </c>
      <c r="L32" s="101">
        <f>K32+'S_4 lentelė'!L32</f>
        <v>5</v>
      </c>
      <c r="M32" s="101">
        <f>L32+'S_4 lentelė'!M32</f>
        <v>5</v>
      </c>
      <c r="N32" s="101">
        <f>M32+'S_4 lentelė'!N32</f>
        <v>5</v>
      </c>
      <c r="O32" s="98"/>
    </row>
    <row r="33" spans="2:15" s="87" customFormat="1" ht="51.75" hidden="1" x14ac:dyDescent="0.25">
      <c r="B33" s="94" t="s">
        <v>920</v>
      </c>
      <c r="C33" s="103" t="s">
        <v>921</v>
      </c>
      <c r="D33" s="94"/>
      <c r="E33" s="94">
        <f>'S_4 lentelė'!E33</f>
        <v>0</v>
      </c>
      <c r="F33" s="94">
        <f>E33+'S_4 lentelė'!F33</f>
        <v>0</v>
      </c>
      <c r="G33" s="101">
        <f>F33+'S_4 lentelė'!G33</f>
        <v>0</v>
      </c>
      <c r="H33" s="101">
        <f>G33+'S_4 lentelė'!H33</f>
        <v>0</v>
      </c>
      <c r="I33" s="101">
        <f>H33+'S_4 lentelė'!I33</f>
        <v>0</v>
      </c>
      <c r="J33" s="101">
        <f>I33+'S_4 lentelė'!J33</f>
        <v>0</v>
      </c>
      <c r="K33" s="101">
        <f>J33+'S_4 lentelė'!K33</f>
        <v>0</v>
      </c>
      <c r="L33" s="101">
        <f>K33+'S_4 lentelė'!L33</f>
        <v>0</v>
      </c>
      <c r="M33" s="101">
        <f>L33+'S_4 lentelė'!M33</f>
        <v>0</v>
      </c>
      <c r="N33" s="101">
        <f>M33+'S_4 lentelė'!N33</f>
        <v>0</v>
      </c>
      <c r="O33" s="98"/>
    </row>
    <row r="34" spans="2:15" s="87" customFormat="1" ht="26.25" hidden="1" x14ac:dyDescent="0.25">
      <c r="B34" s="94" t="s">
        <v>786</v>
      </c>
      <c r="C34" s="103" t="s">
        <v>787</v>
      </c>
      <c r="D34" s="94"/>
      <c r="E34" s="94">
        <f>'S_4 lentelė'!E34</f>
        <v>0</v>
      </c>
      <c r="F34" s="94">
        <f>E34+'S_4 lentelė'!F34</f>
        <v>0</v>
      </c>
      <c r="G34" s="101">
        <f>F34+'S_4 lentelė'!G34</f>
        <v>0</v>
      </c>
      <c r="H34" s="101">
        <f>G34+'S_4 lentelė'!H34</f>
        <v>0</v>
      </c>
      <c r="I34" s="101">
        <f>H34+'S_4 lentelė'!I34</f>
        <v>0</v>
      </c>
      <c r="J34" s="101">
        <f>I34+'S_4 lentelė'!J34</f>
        <v>0.5</v>
      </c>
      <c r="K34" s="101">
        <f>J34+'S_4 lentelė'!K34</f>
        <v>1.56</v>
      </c>
      <c r="L34" s="101">
        <f>K34+'S_4 lentelė'!L34</f>
        <v>1.56</v>
      </c>
      <c r="M34" s="101">
        <f>L34+'S_4 lentelė'!M34</f>
        <v>1.56</v>
      </c>
      <c r="N34" s="101">
        <f>M34+'S_4 lentelė'!N34</f>
        <v>1.56</v>
      </c>
      <c r="O34" s="98"/>
    </row>
    <row r="35" spans="2:15" s="87" customFormat="1" ht="26.25" hidden="1" x14ac:dyDescent="0.25">
      <c r="B35" s="94" t="s">
        <v>922</v>
      </c>
      <c r="C35" s="103" t="s">
        <v>790</v>
      </c>
      <c r="D35" s="94"/>
      <c r="E35" s="94">
        <f>'S_4 lentelė'!E35</f>
        <v>0</v>
      </c>
      <c r="F35" s="94">
        <f>E35+'S_4 lentelė'!F35</f>
        <v>0</v>
      </c>
      <c r="G35" s="101">
        <f>F35+'S_4 lentelė'!G35</f>
        <v>0</v>
      </c>
      <c r="H35" s="101">
        <f>G35+'S_4 lentelė'!H35</f>
        <v>0</v>
      </c>
      <c r="I35" s="101">
        <f>H35+'S_4 lentelė'!I35</f>
        <v>0</v>
      </c>
      <c r="J35" s="101">
        <f>I35+'S_4 lentelė'!J35</f>
        <v>0.8</v>
      </c>
      <c r="K35" s="101">
        <f>J35+'S_4 lentelė'!K35</f>
        <v>1.6</v>
      </c>
      <c r="L35" s="101">
        <f>K35+'S_4 lentelė'!L35</f>
        <v>1.6</v>
      </c>
      <c r="M35" s="101">
        <f>L35+'S_4 lentelė'!M35</f>
        <v>1.6</v>
      </c>
      <c r="N35" s="101">
        <f>M35+'S_4 lentelė'!N35</f>
        <v>1.6</v>
      </c>
      <c r="O35" s="98"/>
    </row>
    <row r="36" spans="2:15" s="87" customFormat="1" hidden="1" x14ac:dyDescent="0.25">
      <c r="B36" s="94" t="s">
        <v>923</v>
      </c>
      <c r="C36" s="103" t="s">
        <v>924</v>
      </c>
      <c r="D36" s="94"/>
      <c r="E36" s="94">
        <f>'S_4 lentelė'!E36</f>
        <v>0</v>
      </c>
      <c r="F36" s="94">
        <f>E36+'S_4 lentelė'!F36</f>
        <v>0</v>
      </c>
      <c r="G36" s="101">
        <f>F36+'S_4 lentelė'!G36</f>
        <v>0</v>
      </c>
      <c r="H36" s="101">
        <f>G36+'S_4 lentelė'!H36</f>
        <v>0</v>
      </c>
      <c r="I36" s="101">
        <f>H36+'S_4 lentelė'!I36</f>
        <v>0</v>
      </c>
      <c r="J36" s="101">
        <f>I36+'S_4 lentelė'!J36</f>
        <v>0</v>
      </c>
      <c r="K36" s="101">
        <f>J36+'S_4 lentelė'!K36</f>
        <v>3</v>
      </c>
      <c r="L36" s="101">
        <f>K36+'S_4 lentelė'!L36</f>
        <v>3</v>
      </c>
      <c r="M36" s="101">
        <f>L36+'S_4 lentelė'!M36</f>
        <v>3</v>
      </c>
      <c r="N36" s="101">
        <f>M36+'S_4 lentelė'!N36</f>
        <v>3</v>
      </c>
      <c r="O36" s="98"/>
    </row>
    <row r="37" spans="2:15" s="87" customFormat="1" ht="26.25" hidden="1" x14ac:dyDescent="0.25">
      <c r="B37" s="101" t="s">
        <v>796</v>
      </c>
      <c r="C37" s="102" t="s">
        <v>925</v>
      </c>
      <c r="D37" s="101"/>
      <c r="E37" s="101">
        <f>'S_4 lentelė'!E37</f>
        <v>0</v>
      </c>
      <c r="F37" s="101">
        <f>E37+'S_4 lentelė'!F37</f>
        <v>0</v>
      </c>
      <c r="G37" s="101">
        <f>F37+'S_4 lentelė'!G37</f>
        <v>0</v>
      </c>
      <c r="H37" s="101">
        <f>G37+'S_4 lentelė'!H37</f>
        <v>0</v>
      </c>
      <c r="I37" s="101">
        <f>H37+'S_4 lentelė'!I37</f>
        <v>0</v>
      </c>
      <c r="J37" s="101">
        <f>I37+'S_4 lentelė'!J37</f>
        <v>0</v>
      </c>
      <c r="K37" s="101">
        <f>J37+'S_4 lentelė'!K37</f>
        <v>4</v>
      </c>
      <c r="L37" s="101">
        <f>K37+'S_4 lentelė'!L37</f>
        <v>4</v>
      </c>
      <c r="M37" s="101">
        <f>L37+'S_4 lentelė'!M37</f>
        <v>4</v>
      </c>
      <c r="N37" s="101">
        <f>M37+'S_4 lentelė'!N37</f>
        <v>4</v>
      </c>
      <c r="O37" s="98"/>
    </row>
    <row r="38" spans="2:15" s="87" customFormat="1" ht="39" hidden="1" x14ac:dyDescent="0.25">
      <c r="B38" s="94" t="s">
        <v>819</v>
      </c>
      <c r="C38" s="103" t="s">
        <v>820</v>
      </c>
      <c r="D38" s="94"/>
      <c r="E38" s="94">
        <f>'S_4 lentelė'!E38</f>
        <v>0</v>
      </c>
      <c r="F38" s="94">
        <f>E38+'S_4 lentelė'!F38</f>
        <v>0</v>
      </c>
      <c r="G38" s="101">
        <f>F38+'S_4 lentelė'!G38</f>
        <v>0</v>
      </c>
      <c r="H38" s="101">
        <f>G38+'S_4 lentelė'!H38</f>
        <v>0</v>
      </c>
      <c r="I38" s="101">
        <f>H38+'S_4 lentelė'!I38</f>
        <v>71.92</v>
      </c>
      <c r="J38" s="101">
        <f>I38+'S_4 lentelė'!J38</f>
        <v>124.5</v>
      </c>
      <c r="K38" s="101">
        <f>J38+'S_4 lentelė'!K38</f>
        <v>124.5</v>
      </c>
      <c r="L38" s="101">
        <f>K38+'S_4 lentelė'!L38</f>
        <v>124.5</v>
      </c>
      <c r="M38" s="101">
        <f>L38+'S_4 lentelė'!M38</f>
        <v>124.5</v>
      </c>
      <c r="N38" s="101">
        <f>M38+'S_4 lentelė'!N38</f>
        <v>124.5</v>
      </c>
      <c r="O38" s="98"/>
    </row>
    <row r="39" spans="2:15" s="87" customFormat="1" ht="26.25" hidden="1" x14ac:dyDescent="0.25">
      <c r="B39" s="94" t="s">
        <v>824</v>
      </c>
      <c r="C39" s="103" t="s">
        <v>828</v>
      </c>
      <c r="D39" s="94"/>
      <c r="E39" s="94">
        <f>'S_4 lentelė'!E39</f>
        <v>0</v>
      </c>
      <c r="F39" s="94">
        <f>E39+'S_4 lentelė'!F39</f>
        <v>0</v>
      </c>
      <c r="G39" s="101">
        <f>F39+'S_4 lentelė'!G39</f>
        <v>0</v>
      </c>
      <c r="H39" s="101">
        <f>G39+'S_4 lentelė'!H39</f>
        <v>0</v>
      </c>
      <c r="I39" s="101">
        <f>H39+'S_4 lentelė'!I39</f>
        <v>6069</v>
      </c>
      <c r="J39" s="101">
        <f>I39+'S_4 lentelė'!J39</f>
        <v>6069</v>
      </c>
      <c r="K39" s="101">
        <f>J39+'S_4 lentelė'!K39</f>
        <v>6069</v>
      </c>
      <c r="L39" s="101">
        <f>K39+'S_4 lentelė'!L39</f>
        <v>6069</v>
      </c>
      <c r="M39" s="101">
        <f>L39+'S_4 lentelė'!M39</f>
        <v>6069</v>
      </c>
      <c r="N39" s="101">
        <f>M39+'S_4 lentelė'!N39</f>
        <v>6069</v>
      </c>
      <c r="O39" s="98"/>
    </row>
    <row r="40" spans="2:15" s="87" customFormat="1" ht="26.25" hidden="1" x14ac:dyDescent="0.25">
      <c r="B40" s="94" t="s">
        <v>806</v>
      </c>
      <c r="C40" s="103" t="s">
        <v>807</v>
      </c>
      <c r="D40" s="94"/>
      <c r="E40" s="94">
        <f>'S_4 lentelė'!E40</f>
        <v>0</v>
      </c>
      <c r="F40" s="94">
        <f>E40+'S_4 lentelė'!F40</f>
        <v>0</v>
      </c>
      <c r="G40" s="101">
        <f>F40+'S_4 lentelė'!G40</f>
        <v>0</v>
      </c>
      <c r="H40" s="101">
        <f>G40+'S_4 lentelė'!H40</f>
        <v>0</v>
      </c>
      <c r="I40" s="101">
        <f>H40+'S_4 lentelė'!I40</f>
        <v>19.600000000000001</v>
      </c>
      <c r="J40" s="101">
        <f>I40+'S_4 lentelė'!J40</f>
        <v>27.64</v>
      </c>
      <c r="K40" s="101">
        <f>J40+'S_4 lentelė'!K40</f>
        <v>27.64</v>
      </c>
      <c r="L40" s="101">
        <f>K40+'S_4 lentelė'!L40</f>
        <v>28.677</v>
      </c>
      <c r="M40" s="101">
        <f>L40+'S_4 lentelė'!M40</f>
        <v>28.677</v>
      </c>
      <c r="N40" s="130">
        <f>M40+'S_4 lentelė'!N40</f>
        <v>28.677</v>
      </c>
      <c r="O40" s="98"/>
    </row>
    <row r="41" spans="2:15" s="87" customFormat="1" ht="39" hidden="1" x14ac:dyDescent="0.25">
      <c r="B41" s="94" t="s">
        <v>798</v>
      </c>
      <c r="C41" s="103" t="s">
        <v>802</v>
      </c>
      <c r="D41" s="94"/>
      <c r="E41" s="94">
        <f>'S_4 lentelė'!E41</f>
        <v>0</v>
      </c>
      <c r="F41" s="94">
        <f>E41+'S_4 lentelė'!F41</f>
        <v>0</v>
      </c>
      <c r="G41" s="101">
        <f>F41+'S_4 lentelė'!G41</f>
        <v>0</v>
      </c>
      <c r="H41" s="101">
        <f>G41+'S_4 lentelė'!H41</f>
        <v>0</v>
      </c>
      <c r="I41" s="101">
        <f>H41+'S_4 lentelė'!I41</f>
        <v>2</v>
      </c>
      <c r="J41" s="101">
        <f>I41+'S_4 lentelė'!J41</f>
        <v>4</v>
      </c>
      <c r="K41" s="101">
        <f>J41+'S_4 lentelė'!K41</f>
        <v>4</v>
      </c>
      <c r="L41" s="101">
        <f>K41+'S_4 lentelė'!L41</f>
        <v>4</v>
      </c>
      <c r="M41" s="101">
        <f>L41+'S_4 lentelė'!M41</f>
        <v>4</v>
      </c>
      <c r="N41" s="101">
        <f>M41+'S_4 lentelė'!N41</f>
        <v>4</v>
      </c>
      <c r="O41" s="98"/>
    </row>
    <row r="42" spans="2:15" s="87" customFormat="1" ht="26.25" hidden="1" x14ac:dyDescent="0.25">
      <c r="B42" s="94" t="s">
        <v>835</v>
      </c>
      <c r="C42" s="103" t="s">
        <v>837</v>
      </c>
      <c r="D42" s="94"/>
      <c r="E42" s="94">
        <f>'S_4 lentelė'!E42</f>
        <v>0</v>
      </c>
      <c r="F42" s="94">
        <f>E42+'S_4 lentelė'!F42</f>
        <v>0</v>
      </c>
      <c r="G42" s="101">
        <f>F42+'S_4 lentelė'!G42</f>
        <v>0</v>
      </c>
      <c r="H42" s="101">
        <f>G42+'S_4 lentelė'!H42</f>
        <v>0</v>
      </c>
      <c r="I42" s="101">
        <f>H42+'S_4 lentelė'!I42</f>
        <v>1</v>
      </c>
      <c r="J42" s="101">
        <f>I42+'S_4 lentelė'!J42</f>
        <v>1</v>
      </c>
      <c r="K42" s="101">
        <f>J42+'S_4 lentelė'!K42</f>
        <v>5</v>
      </c>
      <c r="L42" s="101">
        <f>K42+'S_4 lentelė'!L42</f>
        <v>6</v>
      </c>
      <c r="M42" s="101">
        <f>L42+'S_4 lentelė'!M42</f>
        <v>6</v>
      </c>
      <c r="N42" s="101">
        <f>M42+'S_4 lentelė'!N42</f>
        <v>6</v>
      </c>
      <c r="O42" s="98"/>
    </row>
    <row r="43" spans="2:15" s="87" customFormat="1" ht="26.25" x14ac:dyDescent="0.25">
      <c r="B43" s="94" t="s">
        <v>781</v>
      </c>
      <c r="C43" s="103" t="s">
        <v>782</v>
      </c>
      <c r="D43" s="94"/>
      <c r="E43" s="94">
        <f>'S_4 lentelė'!E43</f>
        <v>0</v>
      </c>
      <c r="F43" s="94">
        <f>E43+'S_4 lentelė'!F43</f>
        <v>0</v>
      </c>
      <c r="G43" s="101">
        <f>F43+'S_4 lentelė'!G43</f>
        <v>0</v>
      </c>
      <c r="H43" s="101">
        <f>G43+'S_4 lentelė'!H43</f>
        <v>0</v>
      </c>
      <c r="I43" s="101">
        <f>H43+'S_4 lentelė'!I43</f>
        <v>0</v>
      </c>
      <c r="J43" s="101">
        <f>I43+'S_4 lentelė'!J43</f>
        <v>6</v>
      </c>
      <c r="K43" s="101">
        <f>J43+'S_4 lentelė'!K43</f>
        <v>10</v>
      </c>
      <c r="L43" s="101">
        <f>K43+'S_4 lentelė'!L43</f>
        <v>11</v>
      </c>
      <c r="M43" s="101">
        <f>L43+'S_4 lentelė'!M43</f>
        <v>12</v>
      </c>
      <c r="N43" s="101">
        <f>M43+'S_4 lentelė'!N43</f>
        <v>12</v>
      </c>
      <c r="O43" s="98"/>
    </row>
    <row r="44" spans="2:15" s="87" customFormat="1" ht="26.25" hidden="1" x14ac:dyDescent="0.25">
      <c r="B44" s="94" t="s">
        <v>862</v>
      </c>
      <c r="C44" s="103" t="s">
        <v>926</v>
      </c>
      <c r="D44" s="94"/>
      <c r="E44" s="94">
        <f>'S_4 lentelė'!E44</f>
        <v>0</v>
      </c>
      <c r="F44" s="94">
        <f>E44+'S_4 lentelė'!F44</f>
        <v>0</v>
      </c>
      <c r="G44" s="101">
        <f>F44+'S_4 lentelė'!G44</f>
        <v>0</v>
      </c>
      <c r="H44" s="101">
        <f>G44+'S_4 lentelė'!H44</f>
        <v>0</v>
      </c>
      <c r="I44" s="101">
        <f>H44+'S_4 lentelė'!I44</f>
        <v>2</v>
      </c>
      <c r="J44" s="101">
        <f>I44+'S_4 lentelė'!J44</f>
        <v>3</v>
      </c>
      <c r="K44" s="101">
        <f>J44+'S_4 lentelė'!K44</f>
        <v>4</v>
      </c>
      <c r="L44" s="101">
        <f>K44+'S_4 lentelė'!L44</f>
        <v>4</v>
      </c>
      <c r="M44" s="101">
        <f>L44+'S_4 lentelė'!M44</f>
        <v>4</v>
      </c>
      <c r="N44" s="101">
        <f>M44+'S_4 lentelė'!N44</f>
        <v>4</v>
      </c>
      <c r="O44" s="98"/>
    </row>
    <row r="45" spans="2:15" s="87" customFormat="1" hidden="1" x14ac:dyDescent="0.25">
      <c r="B45" s="94" t="s">
        <v>868</v>
      </c>
      <c r="C45" s="103" t="s">
        <v>869</v>
      </c>
      <c r="D45" s="94"/>
      <c r="E45" s="94">
        <f>'S_4 lentelė'!E45</f>
        <v>0</v>
      </c>
      <c r="F45" s="94">
        <f>E45+'S_4 lentelė'!F45</f>
        <v>0</v>
      </c>
      <c r="G45" s="101">
        <f>F45+'S_4 lentelė'!G45</f>
        <v>0</v>
      </c>
      <c r="H45" s="101">
        <f>G45+'S_4 lentelė'!H45</f>
        <v>0</v>
      </c>
      <c r="I45" s="101">
        <f>H45+'S_4 lentelė'!I45</f>
        <v>20</v>
      </c>
      <c r="J45" s="101">
        <f>I45+'S_4 lentelė'!J45</f>
        <v>51</v>
      </c>
      <c r="K45" s="101">
        <f>J45+'S_4 lentelė'!K45</f>
        <v>95</v>
      </c>
      <c r="L45" s="101">
        <f>K45+'S_4 lentelė'!L45</f>
        <v>95</v>
      </c>
      <c r="M45" s="101">
        <f>L45+'S_4 lentelė'!M45</f>
        <v>95</v>
      </c>
      <c r="N45" s="101">
        <f>M45+'S_4 lentelė'!N45</f>
        <v>95</v>
      </c>
      <c r="O45" s="98"/>
    </row>
    <row r="46" spans="2:15" s="87" customFormat="1" ht="39" hidden="1" x14ac:dyDescent="0.25">
      <c r="B46" s="94" t="s">
        <v>774</v>
      </c>
      <c r="C46" s="103" t="s">
        <v>775</v>
      </c>
      <c r="D46" s="94"/>
      <c r="E46" s="94">
        <f>'S_4 lentelė'!E46</f>
        <v>0</v>
      </c>
      <c r="F46" s="94">
        <f>E46+'S_4 lentelė'!F46</f>
        <v>0</v>
      </c>
      <c r="G46" s="101">
        <f>F46+'S_4 lentelė'!G46</f>
        <v>0</v>
      </c>
      <c r="H46" s="101">
        <f>G46+'S_4 lentelė'!H46</f>
        <v>0</v>
      </c>
      <c r="I46" s="101">
        <f>H46+'S_4 lentelė'!I46</f>
        <v>0</v>
      </c>
      <c r="J46" s="101">
        <f>I46+'S_4 lentelė'!J46</f>
        <v>34500</v>
      </c>
      <c r="K46" s="101">
        <f>J46+'S_4 lentelė'!K46</f>
        <v>34500</v>
      </c>
      <c r="L46" s="101">
        <f>K46+'S_4 lentelė'!L46</f>
        <v>34500</v>
      </c>
      <c r="M46" s="101">
        <f>L46+'S_4 lentelė'!M46</f>
        <v>34500</v>
      </c>
      <c r="N46" s="101">
        <f>M46+'S_4 lentelė'!N46</f>
        <v>34500</v>
      </c>
      <c r="O46" s="98"/>
    </row>
    <row r="47" spans="2:15" s="87" customFormat="1" ht="26.25" hidden="1" x14ac:dyDescent="0.25">
      <c r="B47" s="94" t="s">
        <v>776</v>
      </c>
      <c r="C47" s="103" t="s">
        <v>777</v>
      </c>
      <c r="D47" s="94"/>
      <c r="E47" s="94">
        <f>'S_4 lentelė'!E47</f>
        <v>0</v>
      </c>
      <c r="F47" s="94">
        <f>E47+'S_4 lentelė'!F47</f>
        <v>0</v>
      </c>
      <c r="G47" s="101">
        <f>F47+'S_4 lentelė'!G47</f>
        <v>0</v>
      </c>
      <c r="H47" s="101">
        <f>G47+'S_4 lentelė'!H47</f>
        <v>0</v>
      </c>
      <c r="I47" s="101">
        <f>H47+'S_4 lentelė'!I47</f>
        <v>0</v>
      </c>
      <c r="J47" s="101">
        <f>I47+'S_4 lentelė'!J47</f>
        <v>58</v>
      </c>
      <c r="K47" s="101">
        <f>J47+'S_4 lentelė'!K47</f>
        <v>58</v>
      </c>
      <c r="L47" s="101">
        <f>K47+'S_4 lentelė'!L47</f>
        <v>58</v>
      </c>
      <c r="M47" s="101">
        <f>L47+'S_4 lentelė'!M47</f>
        <v>58</v>
      </c>
      <c r="N47" s="101">
        <f>M47+'S_4 lentelė'!N47</f>
        <v>58</v>
      </c>
      <c r="O47" s="98"/>
    </row>
    <row r="48" spans="2:15" s="87" customFormat="1" ht="51.75" hidden="1" x14ac:dyDescent="0.25">
      <c r="B48" s="94" t="s">
        <v>853</v>
      </c>
      <c r="C48" s="103" t="s">
        <v>927</v>
      </c>
      <c r="D48" s="94"/>
      <c r="E48" s="94">
        <f>'S_4 lentelė'!E48</f>
        <v>0</v>
      </c>
      <c r="F48" s="94">
        <f>E48+'S_4 lentelė'!F48</f>
        <v>0</v>
      </c>
      <c r="G48" s="101">
        <f>F48+'S_4 lentelė'!G48</f>
        <v>0</v>
      </c>
      <c r="H48" s="101">
        <f>G48+'S_4 lentelė'!H48</f>
        <v>0</v>
      </c>
      <c r="I48" s="101">
        <f>H48+'S_4 lentelė'!I48</f>
        <v>0</v>
      </c>
      <c r="J48" s="101">
        <f>I48+'S_4 lentelė'!J48</f>
        <v>500</v>
      </c>
      <c r="K48" s="101">
        <f>J48+'S_4 lentelė'!K48</f>
        <v>1091</v>
      </c>
      <c r="L48" s="101">
        <f>K48+'S_4 lentelė'!L48</f>
        <v>4605</v>
      </c>
      <c r="M48" s="101">
        <f>L48+'S_4 lentelė'!M48</f>
        <v>8875</v>
      </c>
      <c r="N48" s="101">
        <f>M48+'S_4 lentelė'!N48</f>
        <v>8875</v>
      </c>
      <c r="O48" s="98"/>
    </row>
    <row r="49" spans="2:15" s="87" customFormat="1" ht="51.75" hidden="1" x14ac:dyDescent="0.25">
      <c r="B49" s="94" t="s">
        <v>928</v>
      </c>
      <c r="C49" s="103" t="s">
        <v>929</v>
      </c>
      <c r="D49" s="94"/>
      <c r="E49" s="94">
        <f>'S_4 lentelė'!E49</f>
        <v>0</v>
      </c>
      <c r="F49" s="94">
        <f>E49+'S_4 lentelė'!F49</f>
        <v>0</v>
      </c>
      <c r="G49" s="101">
        <f>F49+'S_4 lentelė'!G49</f>
        <v>0</v>
      </c>
      <c r="H49" s="101">
        <f>G49+'S_4 lentelė'!H49</f>
        <v>0</v>
      </c>
      <c r="I49" s="101">
        <f>H49+'S_4 lentelė'!I49</f>
        <v>0</v>
      </c>
      <c r="J49" s="101">
        <f>I49+'S_4 lentelė'!J49</f>
        <v>0</v>
      </c>
      <c r="K49" s="101">
        <f>J49+'S_4 lentelė'!K49</f>
        <v>0</v>
      </c>
      <c r="L49" s="101">
        <f>K49+'S_4 lentelė'!L49</f>
        <v>0</v>
      </c>
      <c r="M49" s="101">
        <f>L49+'S_4 lentelė'!M49</f>
        <v>0</v>
      </c>
      <c r="N49" s="101">
        <f>M49+'S_4 lentelė'!N49</f>
        <v>0</v>
      </c>
      <c r="O49" s="98"/>
    </row>
    <row r="50" spans="2:15" s="87" customFormat="1" ht="51.75" hidden="1" x14ac:dyDescent="0.25">
      <c r="B50" s="94" t="s">
        <v>872</v>
      </c>
      <c r="C50" s="103" t="s">
        <v>873</v>
      </c>
      <c r="D50" s="94"/>
      <c r="E50" s="94">
        <f>'S_4 lentelė'!E50</f>
        <v>0</v>
      </c>
      <c r="F50" s="94">
        <f>E50+'S_4 lentelė'!F50</f>
        <v>0</v>
      </c>
      <c r="G50" s="101">
        <f>F50+'S_4 lentelė'!G50</f>
        <v>0</v>
      </c>
      <c r="H50" s="101">
        <f>G50+'S_4 lentelė'!H50</f>
        <v>0</v>
      </c>
      <c r="I50" s="101">
        <f>H50+'S_4 lentelė'!I50</f>
        <v>0</v>
      </c>
      <c r="J50" s="101">
        <f>I50+'S_4 lentelė'!J50</f>
        <v>33</v>
      </c>
      <c r="K50" s="101">
        <f>J50+'S_4 lentelė'!K50</f>
        <v>36</v>
      </c>
      <c r="L50" s="101">
        <f>K50+'S_4 lentelė'!L50</f>
        <v>38</v>
      </c>
      <c r="M50" s="101">
        <f>L50+'S_4 lentelė'!M50</f>
        <v>38</v>
      </c>
      <c r="N50" s="101">
        <f>M50+'S_4 lentelė'!N50</f>
        <v>38</v>
      </c>
      <c r="O50" s="98"/>
    </row>
    <row r="51" spans="2:15" s="87" customFormat="1" ht="64.5" hidden="1" x14ac:dyDescent="0.25">
      <c r="B51" s="94" t="s">
        <v>874</v>
      </c>
      <c r="C51" s="103" t="s">
        <v>878</v>
      </c>
      <c r="D51" s="94"/>
      <c r="E51" s="94">
        <f>'S_4 lentelė'!E51</f>
        <v>0</v>
      </c>
      <c r="F51" s="94">
        <f>E51+'S_4 lentelė'!F51</f>
        <v>0</v>
      </c>
      <c r="G51" s="101">
        <f>F51+'S_4 lentelė'!G51</f>
        <v>0</v>
      </c>
      <c r="H51" s="101">
        <f>G51+'S_4 lentelė'!H51</f>
        <v>0</v>
      </c>
      <c r="I51" s="101">
        <f>H51+'S_4 lentelė'!I51</f>
        <v>0</v>
      </c>
      <c r="J51" s="101">
        <f>I51+'S_4 lentelė'!J51</f>
        <v>90</v>
      </c>
      <c r="K51" s="101">
        <f>J51+'S_4 lentelė'!K51</f>
        <v>105</v>
      </c>
      <c r="L51" s="101">
        <f>K51+'S_4 lentelė'!L51</f>
        <v>125</v>
      </c>
      <c r="M51" s="101">
        <f>L51+'S_4 lentelė'!M51</f>
        <v>125</v>
      </c>
      <c r="N51" s="101">
        <f>M51+'S_4 lentelė'!N51</f>
        <v>125</v>
      </c>
      <c r="O51" s="98"/>
    </row>
    <row r="52" spans="2:15" s="87" customFormat="1" ht="39" hidden="1" x14ac:dyDescent="0.25">
      <c r="B52" s="94" t="s">
        <v>833</v>
      </c>
      <c r="C52" s="103" t="s">
        <v>834</v>
      </c>
      <c r="D52" s="94"/>
      <c r="E52" s="94">
        <f>'S_4 lentelė'!E52</f>
        <v>0</v>
      </c>
      <c r="F52" s="94">
        <f>E52+'S_4 lentelė'!F52</f>
        <v>0</v>
      </c>
      <c r="G52" s="101">
        <f>F52+'S_4 lentelė'!G52</f>
        <v>0</v>
      </c>
      <c r="H52" s="101">
        <f>G52+'S_4 lentelė'!H52</f>
        <v>0</v>
      </c>
      <c r="I52" s="101">
        <f>H52+'S_4 lentelė'!I52</f>
        <v>48.32</v>
      </c>
      <c r="J52" s="101">
        <f>I52+'S_4 lentelė'!J52</f>
        <v>50.6</v>
      </c>
      <c r="K52" s="101">
        <f>J52+'S_4 lentelė'!K52</f>
        <v>121.09</v>
      </c>
      <c r="L52" s="101">
        <f>K52+'S_4 lentelė'!L52</f>
        <v>131.09</v>
      </c>
      <c r="M52" s="101">
        <f>L52+'S_4 lentelė'!M52</f>
        <v>131.09</v>
      </c>
      <c r="N52" s="101">
        <f>M52+'S_4 lentelė'!N52</f>
        <v>131.09</v>
      </c>
      <c r="O52" s="98"/>
    </row>
    <row r="53" spans="2:15" ht="26.25" hidden="1" x14ac:dyDescent="0.25">
      <c r="B53" s="31" t="s">
        <v>866</v>
      </c>
      <c r="C53" s="49" t="s">
        <v>867</v>
      </c>
      <c r="D53" s="31"/>
      <c r="E53" s="31">
        <f>'S_4 lentelė'!E53</f>
        <v>0</v>
      </c>
      <c r="F53" s="31">
        <f>E53+'S_4 lentelė'!F53</f>
        <v>0</v>
      </c>
      <c r="G53" s="51">
        <f>F53+'S_4 lentelė'!G53</f>
        <v>0</v>
      </c>
      <c r="H53" s="51">
        <f>G53+'S_4 lentelė'!H53</f>
        <v>0</v>
      </c>
      <c r="I53" s="51">
        <f>H53+'S_4 lentelė'!I53</f>
        <v>42</v>
      </c>
      <c r="J53" s="51">
        <f>I53+'S_4 lentelė'!J53</f>
        <v>82</v>
      </c>
      <c r="K53" s="51">
        <f>J53+'S_4 lentelė'!K53</f>
        <v>98</v>
      </c>
      <c r="L53" s="51">
        <f>K53+'S_4 lentelė'!L53</f>
        <v>98</v>
      </c>
      <c r="M53" s="51">
        <f>L53+'S_4 lentelė'!M53</f>
        <v>98</v>
      </c>
      <c r="N53" s="51">
        <f>M53+'S_4 lentelė'!N53</f>
        <v>98</v>
      </c>
      <c r="O53" s="98"/>
    </row>
    <row r="54" spans="2:15" ht="26.25" hidden="1" x14ac:dyDescent="0.25">
      <c r="B54" s="31" t="s">
        <v>780</v>
      </c>
      <c r="C54" s="49" t="s">
        <v>930</v>
      </c>
      <c r="D54" s="31"/>
      <c r="E54" s="31">
        <f>'S_4 lentelė'!E54</f>
        <v>0</v>
      </c>
      <c r="F54" s="31">
        <f>E54+'S_4 lentelė'!F54</f>
        <v>0</v>
      </c>
      <c r="G54" s="51">
        <f>F54+'S_4 lentelė'!G54</f>
        <v>0</v>
      </c>
      <c r="H54" s="51">
        <f>G54+'S_4 lentelė'!H54</f>
        <v>0</v>
      </c>
      <c r="I54" s="51">
        <f>H54+'S_4 lentelė'!I54</f>
        <v>0</v>
      </c>
      <c r="J54" s="51">
        <f>I54+'S_4 lentelė'!J54</f>
        <v>0</v>
      </c>
      <c r="K54" s="51">
        <f>J54+'S_4 lentelė'!K54</f>
        <v>0</v>
      </c>
      <c r="L54" s="51">
        <f>K54+'S_4 lentelė'!L54</f>
        <v>0</v>
      </c>
      <c r="M54" s="51">
        <f>L54+'S_4 lentelė'!M54</f>
        <v>0</v>
      </c>
      <c r="N54" s="115">
        <f>M54+'S_4 lentelė'!N54</f>
        <v>0</v>
      </c>
      <c r="O54" s="98"/>
    </row>
    <row r="55" spans="2:15" ht="39" hidden="1" x14ac:dyDescent="0.25">
      <c r="B55" s="31" t="s">
        <v>843</v>
      </c>
      <c r="C55" s="49" t="s">
        <v>844</v>
      </c>
      <c r="D55" s="31"/>
      <c r="E55" s="31">
        <f>'S_4 lentelė'!E55</f>
        <v>0</v>
      </c>
      <c r="F55" s="31">
        <f>E55+'S_4 lentelė'!F55</f>
        <v>0</v>
      </c>
      <c r="G55" s="51">
        <f>F55+'S_4 lentelė'!G55</f>
        <v>0</v>
      </c>
      <c r="H55" s="51">
        <f>G55+'S_4 lentelė'!H55</f>
        <v>0</v>
      </c>
      <c r="I55" s="51">
        <f>H55+'S_4 lentelė'!I55</f>
        <v>0</v>
      </c>
      <c r="J55" s="51">
        <f>I55+'S_4 lentelė'!J55</f>
        <v>2</v>
      </c>
      <c r="K55" s="51">
        <f>J55+'S_4 lentelė'!K55</f>
        <v>6</v>
      </c>
      <c r="L55" s="51">
        <f>K55+'S_4 lentelė'!L55</f>
        <v>6</v>
      </c>
      <c r="M55" s="51">
        <f>L55+'S_4 lentelė'!M55</f>
        <v>6</v>
      </c>
      <c r="N55" s="51">
        <f>M55+'S_4 lentelė'!N55</f>
        <v>6</v>
      </c>
      <c r="O55" s="98"/>
    </row>
    <row r="56" spans="2:15" ht="26.25" hidden="1" x14ac:dyDescent="0.25">
      <c r="B56" s="31" t="s">
        <v>838</v>
      </c>
      <c r="C56" s="49" t="s">
        <v>839</v>
      </c>
      <c r="D56" s="31"/>
      <c r="E56" s="31">
        <f>'S_4 lentelė'!E56</f>
        <v>0</v>
      </c>
      <c r="F56" s="31">
        <f>E56+'S_4 lentelė'!F56</f>
        <v>0</v>
      </c>
      <c r="G56" s="51">
        <f>F56+'S_4 lentelė'!G56</f>
        <v>0</v>
      </c>
      <c r="H56" s="51">
        <f>G56+'S_4 lentelė'!H56</f>
        <v>0</v>
      </c>
      <c r="I56" s="51">
        <f>H56+'S_4 lentelė'!I56</f>
        <v>0</v>
      </c>
      <c r="J56" s="51">
        <f>I56+'S_4 lentelė'!J56</f>
        <v>0</v>
      </c>
      <c r="K56" s="51">
        <f>J56+'S_4 lentelė'!K56</f>
        <v>0</v>
      </c>
      <c r="L56" s="51">
        <f>K56+'S_4 lentelė'!L56</f>
        <v>2</v>
      </c>
      <c r="M56" s="51">
        <f>L56+'S_4 lentelė'!M56</f>
        <v>2</v>
      </c>
      <c r="N56" s="51">
        <f>M56+'S_4 lentelė'!N56</f>
        <v>2</v>
      </c>
      <c r="O56" s="98"/>
    </row>
    <row r="57" spans="2:15" ht="64.5" hidden="1" x14ac:dyDescent="0.25">
      <c r="B57" s="31" t="s">
        <v>851</v>
      </c>
      <c r="C57" s="49" t="s">
        <v>942</v>
      </c>
      <c r="D57" s="31"/>
      <c r="E57" s="31">
        <f>'S_4 lentelė'!E57</f>
        <v>0</v>
      </c>
      <c r="F57" s="31">
        <f>E57+'S_4 lentelė'!F57</f>
        <v>0</v>
      </c>
      <c r="G57" s="51">
        <f>F57+'S_4 lentelė'!G57</f>
        <v>0</v>
      </c>
      <c r="H57" s="51">
        <f>G57+'S_4 lentelė'!H57</f>
        <v>0</v>
      </c>
      <c r="I57" s="51">
        <f>H57+'S_4 lentelė'!I57</f>
        <v>60</v>
      </c>
      <c r="J57" s="51">
        <f>I57+'S_4 lentelė'!J57</f>
        <v>60</v>
      </c>
      <c r="K57" s="51">
        <f>J57+'S_4 lentelė'!K57</f>
        <v>60</v>
      </c>
      <c r="L57" s="51">
        <f>K57+'S_4 lentelė'!L57</f>
        <v>60</v>
      </c>
      <c r="M57" s="51">
        <f>L57+'S_4 lentelė'!M57</f>
        <v>101</v>
      </c>
      <c r="N57" s="51">
        <f>M57+'S_4 lentelė'!N57</f>
        <v>101</v>
      </c>
      <c r="O57" s="98"/>
    </row>
    <row r="58" spans="2:15" hidden="1" x14ac:dyDescent="0.25">
      <c r="B58" s="31" t="s">
        <v>940</v>
      </c>
      <c r="C58" s="49" t="s">
        <v>941</v>
      </c>
      <c r="D58" s="31"/>
      <c r="E58" s="31">
        <f>'S_4 lentelė'!E58</f>
        <v>0</v>
      </c>
      <c r="F58" s="31">
        <f>E58+'S_4 lentelė'!F58</f>
        <v>0</v>
      </c>
      <c r="G58" s="51">
        <f>F58+'S_4 lentelė'!G58</f>
        <v>0</v>
      </c>
      <c r="H58" s="51">
        <f>G58+'S_4 lentelė'!H58</f>
        <v>0</v>
      </c>
      <c r="I58" s="51">
        <f>H58+'S_4 lentelė'!I58</f>
        <v>0</v>
      </c>
      <c r="J58" s="51">
        <f>I58+'S_4 lentelė'!J58</f>
        <v>0</v>
      </c>
      <c r="K58" s="51">
        <f>J58+'S_4 lentelė'!K58</f>
        <v>9</v>
      </c>
      <c r="L58" s="51">
        <f>K58+'S_4 lentelė'!L58</f>
        <v>9</v>
      </c>
      <c r="M58" s="51">
        <f>L58+'S_4 lentelė'!M58</f>
        <v>9</v>
      </c>
      <c r="N58" s="51">
        <f>M58+'S_4 lentelė'!N58</f>
        <v>9</v>
      </c>
      <c r="O58" s="98"/>
    </row>
    <row r="59" spans="2:15" ht="39" hidden="1" x14ac:dyDescent="0.25">
      <c r="B59" s="101" t="s">
        <v>987</v>
      </c>
      <c r="C59" s="72" t="s">
        <v>988</v>
      </c>
      <c r="D59" s="86"/>
      <c r="E59" s="51">
        <v>0</v>
      </c>
      <c r="F59" s="51">
        <v>0</v>
      </c>
      <c r="G59" s="51">
        <v>0</v>
      </c>
      <c r="H59" s="51">
        <v>0</v>
      </c>
      <c r="I59" s="51">
        <v>0</v>
      </c>
      <c r="J59" s="51">
        <f>'S_4 lentelė'!J59</f>
        <v>22632</v>
      </c>
      <c r="K59" s="51">
        <f>J59+'S_4 lentelė'!K59</f>
        <v>70172</v>
      </c>
      <c r="L59" s="51">
        <f>K59+'S_4 lentelė'!L59</f>
        <v>89894</v>
      </c>
      <c r="M59" s="51">
        <f>L59+'S_4 lentelė'!M59</f>
        <v>89894</v>
      </c>
      <c r="N59" s="51">
        <f>M59+'S_4 lentelė'!N59</f>
        <v>89894</v>
      </c>
      <c r="O59" s="98"/>
    </row>
    <row r="60" spans="2:15" ht="51.75" hidden="1" x14ac:dyDescent="0.25">
      <c r="B60" s="51" t="s">
        <v>989</v>
      </c>
      <c r="C60" s="72" t="s">
        <v>990</v>
      </c>
      <c r="D60" s="86"/>
      <c r="E60" s="51"/>
      <c r="F60" s="51"/>
      <c r="G60" s="51"/>
      <c r="H60" s="51"/>
      <c r="I60" s="51"/>
      <c r="J60" s="51">
        <f>'S_4 lentelė'!J60</f>
        <v>3</v>
      </c>
      <c r="K60" s="51">
        <f>J60+'S_4 lentelė'!K60</f>
        <v>7</v>
      </c>
      <c r="L60" s="51">
        <f>K60+'S_4 lentelė'!L60</f>
        <v>8</v>
      </c>
      <c r="M60" s="51">
        <f>L60+'S_4 lentelė'!M60</f>
        <v>8</v>
      </c>
      <c r="N60" s="51">
        <f>M60+'S_4 lentelė'!N60</f>
        <v>8</v>
      </c>
      <c r="O60" s="98"/>
    </row>
    <row r="61" spans="2:15" x14ac:dyDescent="0.25">
      <c r="H61" s="53"/>
      <c r="I61" s="53"/>
      <c r="J61" s="53"/>
      <c r="K61" s="53"/>
      <c r="L61" s="53"/>
      <c r="M61" s="53"/>
      <c r="N61" s="53"/>
      <c r="O61" s="53"/>
    </row>
    <row r="62" spans="2:15" x14ac:dyDescent="0.25">
      <c r="H62" s="53"/>
      <c r="I62" s="53"/>
      <c r="J62" s="53"/>
      <c r="K62" s="53"/>
      <c r="L62" s="53"/>
      <c r="M62" s="53"/>
      <c r="N62" s="53"/>
    </row>
    <row r="63" spans="2:15" x14ac:dyDescent="0.25">
      <c r="H63" s="53"/>
      <c r="I63" s="53"/>
      <c r="J63" s="53"/>
      <c r="K63" s="53"/>
      <c r="L63" s="53"/>
      <c r="M63" s="53"/>
      <c r="N63" s="53"/>
    </row>
    <row r="64" spans="2:15" x14ac:dyDescent="0.25">
      <c r="H64" s="53"/>
      <c r="I64" s="53"/>
      <c r="J64" s="53"/>
      <c r="K64" s="53"/>
      <c r="L64" s="53"/>
      <c r="M64" s="53"/>
      <c r="N64" s="53"/>
    </row>
    <row r="65" spans="8:14" x14ac:dyDescent="0.25">
      <c r="H65" s="53"/>
      <c r="I65" s="53"/>
      <c r="J65" s="53"/>
      <c r="K65" s="53"/>
      <c r="L65" s="53"/>
      <c r="M65" s="53"/>
      <c r="N65" s="53"/>
    </row>
    <row r="66" spans="8:14" x14ac:dyDescent="0.25">
      <c r="H66" s="53"/>
      <c r="I66" s="53"/>
      <c r="J66" s="53"/>
      <c r="K66" s="53"/>
      <c r="L66" s="53"/>
      <c r="M66" s="53"/>
      <c r="N66" s="53"/>
    </row>
    <row r="67" spans="8:14" x14ac:dyDescent="0.25">
      <c r="H67" s="53"/>
      <c r="I67" s="53"/>
      <c r="J67" s="53"/>
      <c r="K67" s="53"/>
      <c r="L67" s="53"/>
      <c r="M67" s="53"/>
      <c r="N67" s="53"/>
    </row>
    <row r="68" spans="8:14" x14ac:dyDescent="0.25">
      <c r="H68" s="53"/>
      <c r="I68" s="53"/>
      <c r="J68" s="53"/>
      <c r="K68" s="53"/>
      <c r="L68" s="53"/>
      <c r="M68" s="53"/>
      <c r="N68" s="53"/>
    </row>
    <row r="69" spans="8:14" x14ac:dyDescent="0.25">
      <c r="H69" s="53"/>
      <c r="I69" s="53"/>
      <c r="J69" s="53"/>
      <c r="K69" s="53"/>
      <c r="L69" s="53"/>
      <c r="M69" s="53"/>
      <c r="N69" s="53"/>
    </row>
    <row r="70" spans="8:14" x14ac:dyDescent="0.25">
      <c r="H70" s="53"/>
      <c r="I70" s="53"/>
      <c r="J70" s="53"/>
      <c r="K70" s="53"/>
      <c r="L70" s="53"/>
      <c r="M70" s="53"/>
      <c r="N70" s="53"/>
    </row>
    <row r="71" spans="8:14" x14ac:dyDescent="0.25">
      <c r="H71" s="53"/>
      <c r="I71" s="53"/>
      <c r="J71" s="53"/>
      <c r="K71" s="53"/>
      <c r="L71" s="53"/>
      <c r="M71" s="53"/>
      <c r="N71" s="53"/>
    </row>
    <row r="72" spans="8:14" x14ac:dyDescent="0.25">
      <c r="H72" s="53"/>
      <c r="I72" s="53"/>
      <c r="J72" s="53"/>
      <c r="K72" s="53"/>
      <c r="L72" s="53"/>
      <c r="M72" s="53"/>
      <c r="N72" s="53"/>
    </row>
    <row r="73" spans="8:14" x14ac:dyDescent="0.25">
      <c r="H73" s="53"/>
      <c r="I73" s="53"/>
      <c r="J73" s="53"/>
      <c r="K73" s="53"/>
      <c r="L73" s="53"/>
      <c r="M73" s="53"/>
      <c r="N73" s="53"/>
    </row>
    <row r="74" spans="8:14" x14ac:dyDescent="0.25">
      <c r="H74" s="53"/>
      <c r="I74" s="53"/>
      <c r="J74" s="53"/>
      <c r="K74" s="53"/>
      <c r="L74" s="53"/>
      <c r="M74" s="53"/>
      <c r="N74" s="53"/>
    </row>
    <row r="75" spans="8:14" x14ac:dyDescent="0.25">
      <c r="H75" s="53"/>
      <c r="I75" s="53"/>
      <c r="J75" s="53"/>
      <c r="K75" s="53"/>
      <c r="L75" s="53"/>
      <c r="M75" s="53"/>
      <c r="N75" s="53"/>
    </row>
    <row r="76" spans="8:14" x14ac:dyDescent="0.25">
      <c r="H76" s="53"/>
      <c r="I76" s="53"/>
      <c r="J76" s="53"/>
      <c r="K76" s="53"/>
      <c r="L76" s="53"/>
      <c r="M76" s="53"/>
      <c r="N76" s="53"/>
    </row>
    <row r="77" spans="8:14" x14ac:dyDescent="0.25">
      <c r="H77" s="53"/>
      <c r="I77" s="53"/>
      <c r="J77" s="53"/>
      <c r="K77" s="53"/>
      <c r="L77" s="53"/>
      <c r="M77" s="53"/>
      <c r="N77" s="53"/>
    </row>
    <row r="78" spans="8:14" x14ac:dyDescent="0.25">
      <c r="H78" s="53"/>
      <c r="I78" s="53"/>
      <c r="J78" s="53"/>
      <c r="K78" s="53"/>
      <c r="L78" s="53"/>
      <c r="M78" s="53"/>
      <c r="N78" s="53"/>
    </row>
    <row r="79" spans="8:14" x14ac:dyDescent="0.25">
      <c r="H79" s="53"/>
      <c r="I79" s="53"/>
      <c r="J79" s="53"/>
      <c r="K79" s="53"/>
      <c r="L79" s="53"/>
      <c r="M79" s="53"/>
      <c r="N79" s="53"/>
    </row>
  </sheetData>
  <mergeCells count="5">
    <mergeCell ref="K1:N1"/>
    <mergeCell ref="K2:M2"/>
    <mergeCell ref="K3:M3"/>
    <mergeCell ref="B6:K6"/>
    <mergeCell ref="B8:N8"/>
  </mergeCells>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lentelė</vt:lpstr>
      <vt:lpstr>2 lentelė</vt:lpstr>
      <vt:lpstr>3 lentelė</vt:lpstr>
      <vt:lpstr>4 lentelė</vt:lpstr>
      <vt:lpstr>5 lentelė</vt:lpstr>
      <vt:lpstr>6 lentelė</vt:lpstr>
      <vt:lpstr>7 lentelė</vt:lpstr>
      <vt:lpstr>S_4 lentelė</vt:lpstr>
      <vt:lpstr>S_5 lentelė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Daiva Kiminaitė</cp:lastModifiedBy>
  <cp:lastPrinted>2018-09-28T06:00:04Z</cp:lastPrinted>
  <dcterms:created xsi:type="dcterms:W3CDTF">2017-11-23T09:10:18Z</dcterms:created>
  <dcterms:modified xsi:type="dcterms:W3CDTF">2018-09-28T09:53:02Z</dcterms:modified>
</cp:coreProperties>
</file>