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Planas_viesinimui_2019-01-31\"/>
    </mc:Choice>
  </mc:AlternateContent>
  <bookViews>
    <workbookView xWindow="0" yWindow="120" windowWidth="19440" windowHeight="11850" activeTab="1"/>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lentelė'!$A$6:$V$195</definedName>
    <definedName name="_xlnm._FilterDatabase" localSheetId="2" hidden="1">'3 lentelė'!$B$5:$Z$194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7" i="8" l="1"/>
  <c r="L57" i="8"/>
  <c r="K57" i="8"/>
  <c r="K53" i="8"/>
  <c r="J53" i="8"/>
  <c r="I53" i="8"/>
  <c r="I53" i="10"/>
  <c r="K44" i="8"/>
  <c r="J44" i="8"/>
  <c r="I44" i="8"/>
  <c r="J39" i="8"/>
  <c r="J38" i="8"/>
  <c r="I38" i="8"/>
  <c r="J24" i="8"/>
  <c r="I24" i="8"/>
  <c r="J23" i="8"/>
  <c r="I23" i="8"/>
  <c r="K20" i="8"/>
  <c r="J20" i="8"/>
  <c r="L19" i="8"/>
  <c r="K19" i="8"/>
  <c r="J19" i="8"/>
  <c r="L17" i="8"/>
  <c r="K17" i="8"/>
  <c r="J17" i="8"/>
  <c r="J53" i="10" l="1"/>
  <c r="N42" i="1" l="1"/>
  <c r="O42" i="1"/>
  <c r="P53" i="1" l="1"/>
  <c r="Q53" i="1"/>
  <c r="K41" i="8" l="1"/>
  <c r="J41" i="8"/>
  <c r="K11" i="8"/>
  <c r="R120" i="1" l="1"/>
  <c r="S120" i="1"/>
  <c r="E122" i="1"/>
  <c r="E121" i="1" s="1"/>
  <c r="F122" i="1"/>
  <c r="F121" i="1" s="1"/>
  <c r="G122" i="1"/>
  <c r="G121" i="1" s="1"/>
  <c r="H122" i="1"/>
  <c r="H121" i="1" s="1"/>
  <c r="I122" i="1"/>
  <c r="I121" i="1" s="1"/>
  <c r="J122" i="1"/>
  <c r="J121" i="1" s="1"/>
  <c r="K122" i="1"/>
  <c r="K121" i="1" s="1"/>
  <c r="L122" i="1"/>
  <c r="L121" i="1" s="1"/>
  <c r="M122" i="1"/>
  <c r="M121" i="1" s="1"/>
  <c r="P122" i="1"/>
  <c r="P121" i="1" s="1"/>
  <c r="Q122" i="1"/>
  <c r="Q121" i="1" s="1"/>
  <c r="D122" i="1"/>
  <c r="O123" i="1"/>
  <c r="S123" i="1" s="1"/>
  <c r="N123" i="1"/>
  <c r="N122" i="1" s="1"/>
  <c r="N121" i="1" s="1"/>
  <c r="R119" i="1"/>
  <c r="S119" i="1"/>
  <c r="R123" i="1" l="1"/>
  <c r="R122" i="1"/>
  <c r="R121" i="1" s="1"/>
  <c r="O122" i="1"/>
  <c r="O121" i="1" s="1"/>
  <c r="D121" i="1"/>
  <c r="J62" i="10"/>
  <c r="S122" i="1" l="1"/>
  <c r="S121" i="1" s="1"/>
  <c r="J64" i="10"/>
  <c r="K64" i="10" s="1"/>
  <c r="J63" i="10"/>
  <c r="K63" i="10" s="1"/>
  <c r="K62" i="10"/>
  <c r="L62" i="10" s="1"/>
  <c r="M62" i="10" s="1"/>
  <c r="N62" i="10" s="1"/>
  <c r="L64" i="8"/>
  <c r="L64" i="10" s="1"/>
  <c r="M64" i="10" s="1"/>
  <c r="N64" i="10" s="1"/>
  <c r="L63" i="8"/>
  <c r="L63" i="10" s="1"/>
  <c r="M63" i="10" s="1"/>
  <c r="N63" i="10" s="1"/>
  <c r="D60" i="4"/>
  <c r="D59" i="4"/>
  <c r="O192" i="1" l="1"/>
  <c r="N192" i="1"/>
  <c r="K35" i="8"/>
  <c r="F58" i="7"/>
  <c r="M22" i="8"/>
  <c r="L22" i="8"/>
  <c r="M56" i="8"/>
  <c r="M52" i="8"/>
  <c r="M42" i="8"/>
  <c r="K42" i="8"/>
  <c r="J42" i="8"/>
  <c r="M21" i="8"/>
  <c r="L21" i="8"/>
  <c r="Q114" i="1" l="1"/>
  <c r="P114" i="1"/>
  <c r="K13" i="8" l="1"/>
  <c r="J13" i="8"/>
  <c r="K55" i="8"/>
  <c r="K28" i="8"/>
  <c r="K61" i="8"/>
  <c r="K61" i="10" s="1"/>
  <c r="L61" i="10" s="1"/>
  <c r="M61" i="10" s="1"/>
  <c r="N61" i="10" s="1"/>
  <c r="D57" i="4" l="1"/>
  <c r="L37" i="8" l="1"/>
  <c r="K34" i="8" l="1"/>
  <c r="J34" i="8"/>
  <c r="K22" i="8" l="1"/>
  <c r="I22" i="8"/>
  <c r="K52" i="8" l="1"/>
  <c r="I52" i="8"/>
  <c r="J52" i="8"/>
  <c r="K21" i="8" l="1"/>
  <c r="F19" i="7" l="1"/>
  <c r="M26" i="1" l="1"/>
  <c r="L26" i="1"/>
  <c r="M19" i="1"/>
  <c r="L19" i="1"/>
  <c r="L51" i="8" l="1"/>
  <c r="K51" i="8"/>
  <c r="J51" i="8"/>
  <c r="L50" i="8"/>
  <c r="K50" i="8"/>
  <c r="J50" i="8"/>
  <c r="I47" i="8"/>
  <c r="I46" i="8"/>
  <c r="J45" i="8"/>
  <c r="K45" i="8"/>
  <c r="L43" i="8"/>
  <c r="K43" i="8"/>
  <c r="J43" i="8"/>
  <c r="K15" i="8" l="1"/>
  <c r="I15" i="8"/>
  <c r="O20" i="1"/>
  <c r="N20" i="1"/>
  <c r="M189" i="1" l="1"/>
  <c r="L189" i="1"/>
  <c r="M187" i="1"/>
  <c r="L187" i="1"/>
  <c r="M184" i="1"/>
  <c r="L184" i="1"/>
  <c r="I171" i="1"/>
  <c r="H171" i="1"/>
  <c r="M136" i="1"/>
  <c r="L136" i="1"/>
  <c r="M133" i="1"/>
  <c r="L133" i="1"/>
  <c r="M132" i="1"/>
  <c r="L132" i="1"/>
  <c r="M131" i="1"/>
  <c r="L131" i="1"/>
  <c r="I97" i="1"/>
  <c r="H97" i="1"/>
  <c r="M43" i="8" l="1"/>
  <c r="J26" i="8"/>
  <c r="M12" i="8"/>
  <c r="K12" i="8"/>
  <c r="J12" i="8"/>
  <c r="O48" i="1"/>
  <c r="N48" i="1"/>
  <c r="J43" i="1" l="1"/>
  <c r="O41" i="1"/>
  <c r="N41" i="1"/>
  <c r="S53" i="1" l="1"/>
  <c r="R53" i="1"/>
  <c r="Q52" i="1"/>
  <c r="S52" i="1" s="1"/>
  <c r="P52" i="1"/>
  <c r="R52" i="1" s="1"/>
  <c r="O51" i="1"/>
  <c r="S51" i="1" s="1"/>
  <c r="N51" i="1"/>
  <c r="R51" i="1" s="1"/>
  <c r="O50" i="1"/>
  <c r="S50" i="1" s="1"/>
  <c r="N50" i="1"/>
  <c r="R50" i="1" s="1"/>
  <c r="Q49" i="1"/>
  <c r="P49" i="1"/>
  <c r="R49" i="1" s="1"/>
  <c r="Q40" i="1" l="1"/>
  <c r="P40" i="1"/>
  <c r="S49" i="1"/>
  <c r="O90" i="1"/>
  <c r="N90" i="1"/>
  <c r="L40" i="8" l="1"/>
  <c r="L18" i="8" l="1"/>
  <c r="F14" i="7"/>
  <c r="F26" i="7"/>
  <c r="L81" i="1"/>
  <c r="M81" i="1"/>
  <c r="P81" i="1"/>
  <c r="Q81" i="1"/>
  <c r="O92" i="1"/>
  <c r="O81" i="1" s="1"/>
  <c r="N92" i="1"/>
  <c r="N81" i="1" s="1"/>
  <c r="S92" i="1" l="1"/>
  <c r="R92" i="1"/>
  <c r="L20" i="8"/>
  <c r="O66" i="1" l="1"/>
  <c r="N66" i="1"/>
  <c r="K36" i="8" l="1"/>
  <c r="F57" i="7"/>
  <c r="I15" i="5" l="1"/>
  <c r="E60" i="1" l="1"/>
  <c r="F60" i="1"/>
  <c r="G60" i="1"/>
  <c r="H60" i="1"/>
  <c r="I60" i="1"/>
  <c r="J60" i="1"/>
  <c r="K60" i="1"/>
  <c r="L60" i="1"/>
  <c r="M60" i="1"/>
  <c r="P60" i="1"/>
  <c r="Q60" i="1"/>
  <c r="D60" i="1"/>
  <c r="O62" i="1"/>
  <c r="N62" i="1"/>
  <c r="R62" i="1" s="1"/>
  <c r="S62" i="1" l="1"/>
  <c r="O61" i="1"/>
  <c r="O60" i="1" s="1"/>
  <c r="N61" i="1"/>
  <c r="N60" i="1" s="1"/>
  <c r="M48" i="8" l="1"/>
  <c r="L48" i="8"/>
  <c r="K48" i="8"/>
  <c r="J48" i="8"/>
  <c r="K31" i="8"/>
  <c r="I31" i="8"/>
  <c r="K59" i="8"/>
  <c r="J59" i="8"/>
  <c r="M14" i="8"/>
  <c r="K14" i="8"/>
  <c r="J14" i="8"/>
  <c r="I14" i="8"/>
  <c r="F43" i="7" l="1"/>
  <c r="K18" i="1"/>
  <c r="J18" i="1"/>
  <c r="L59" i="8" l="1"/>
  <c r="O148" i="1"/>
  <c r="N148" i="1"/>
  <c r="F49" i="7" l="1"/>
  <c r="E76" i="1"/>
  <c r="F76" i="1"/>
  <c r="G76" i="1"/>
  <c r="H76" i="1"/>
  <c r="I76" i="1"/>
  <c r="L76" i="1"/>
  <c r="M76" i="1"/>
  <c r="P76" i="1"/>
  <c r="Q76" i="1"/>
  <c r="D76" i="1"/>
  <c r="O78" i="1"/>
  <c r="O76" i="1" s="1"/>
  <c r="N78" i="1"/>
  <c r="N76" i="1" s="1"/>
  <c r="R78" i="1" l="1"/>
  <c r="S78" i="1"/>
  <c r="F37" i="7" l="1"/>
  <c r="F36" i="7"/>
  <c r="O24" i="1" l="1"/>
  <c r="N24" i="1"/>
  <c r="O105" i="1" l="1"/>
  <c r="N105" i="1"/>
  <c r="M45" i="1" l="1"/>
  <c r="L45" i="1"/>
  <c r="K60" i="8" l="1"/>
  <c r="S148" i="1"/>
  <c r="R148" i="1"/>
  <c r="L60" i="8" l="1"/>
  <c r="J60" i="8"/>
  <c r="J60" i="10" s="1"/>
  <c r="K60" i="10" s="1"/>
  <c r="J59" i="10"/>
  <c r="K59" i="10" s="1"/>
  <c r="F34" i="7"/>
  <c r="AD68" i="3"/>
  <c r="AC68" i="3"/>
  <c r="AB68" i="3"/>
  <c r="AA68" i="3"/>
  <c r="Z68" i="3"/>
  <c r="AD67" i="3"/>
  <c r="AC67" i="3"/>
  <c r="AA67" i="3"/>
  <c r="AB67" i="3"/>
  <c r="Z67" i="3"/>
  <c r="L60" i="10" l="1"/>
  <c r="M60" i="10" s="1"/>
  <c r="N60" i="10" s="1"/>
  <c r="L59" i="10"/>
  <c r="M59" i="10" s="1"/>
  <c r="N59" i="10" s="1"/>
  <c r="AE68" i="3"/>
  <c r="D56" i="4" s="1"/>
  <c r="AE67" i="3"/>
  <c r="D55" i="4" s="1"/>
  <c r="P140" i="1"/>
  <c r="Q140" i="1"/>
  <c r="J28" i="5" s="1"/>
  <c r="M147" i="1"/>
  <c r="S147" i="1" s="1"/>
  <c r="L147" i="1"/>
  <c r="R147" i="1" s="1"/>
  <c r="O146" i="1" l="1"/>
  <c r="S146" i="1" s="1"/>
  <c r="N146" i="1"/>
  <c r="R146" i="1" s="1"/>
  <c r="O145" i="1" l="1"/>
  <c r="S145" i="1" s="1"/>
  <c r="N145" i="1"/>
  <c r="R145" i="1" s="1"/>
  <c r="M144" i="1" l="1"/>
  <c r="S144" i="1" s="1"/>
  <c r="L144" i="1"/>
  <c r="R144" i="1" s="1"/>
  <c r="M143" i="1" l="1"/>
  <c r="S143" i="1" s="1"/>
  <c r="L143" i="1"/>
  <c r="R143" i="1" s="1"/>
  <c r="O142" i="1" l="1"/>
  <c r="N142" i="1"/>
  <c r="S142" i="1" l="1"/>
  <c r="O140" i="1"/>
  <c r="I28" i="5" s="1"/>
  <c r="R142" i="1"/>
  <c r="N140" i="1"/>
  <c r="M141" i="1"/>
  <c r="L141" i="1"/>
  <c r="S141" i="1" l="1"/>
  <c r="S140" i="1" s="1"/>
  <c r="V140" i="1" s="1"/>
  <c r="M140" i="1"/>
  <c r="H28" i="5" s="1"/>
  <c r="R141" i="1"/>
  <c r="R140" i="1" s="1"/>
  <c r="L140" i="1"/>
  <c r="O56" i="1"/>
  <c r="S56" i="1" s="1"/>
  <c r="N56" i="1"/>
  <c r="R56" i="1" s="1"/>
  <c r="O46" i="1" l="1"/>
  <c r="O40" i="1" s="1"/>
  <c r="N46" i="1"/>
  <c r="N40" i="1" s="1"/>
  <c r="R91" i="1" l="1"/>
  <c r="S91" i="1"/>
  <c r="F13" i="7" l="1"/>
  <c r="R88" i="1" l="1"/>
  <c r="S88" i="1"/>
  <c r="R89" i="1"/>
  <c r="S89" i="1"/>
  <c r="R90" i="1"/>
  <c r="S90" i="1"/>
  <c r="O193" i="1" l="1"/>
  <c r="N193" i="1"/>
  <c r="M191" i="1"/>
  <c r="L191" i="1"/>
  <c r="M190" i="1"/>
  <c r="L190" i="1"/>
  <c r="M188" i="1"/>
  <c r="L188" i="1"/>
  <c r="K183" i="1"/>
  <c r="J183" i="1"/>
  <c r="K182" i="1"/>
  <c r="J182" i="1"/>
  <c r="K181" i="1"/>
  <c r="J181" i="1"/>
  <c r="K180" i="1"/>
  <c r="J180" i="1"/>
  <c r="K179" i="1"/>
  <c r="J179" i="1"/>
  <c r="I176" i="1"/>
  <c r="H176" i="1"/>
  <c r="I175" i="1"/>
  <c r="H175" i="1"/>
  <c r="I174" i="1"/>
  <c r="H174" i="1"/>
  <c r="I173" i="1"/>
  <c r="H173" i="1"/>
  <c r="I172" i="1"/>
  <c r="H172" i="1"/>
  <c r="M169" i="1"/>
  <c r="L169" i="1"/>
  <c r="K168" i="1"/>
  <c r="J168" i="1"/>
  <c r="M167" i="1"/>
  <c r="L167" i="1"/>
  <c r="M166" i="1"/>
  <c r="L166" i="1"/>
  <c r="M163" i="1"/>
  <c r="L163" i="1"/>
  <c r="M162" i="1"/>
  <c r="L162" i="1"/>
  <c r="M161" i="1"/>
  <c r="L161" i="1"/>
  <c r="M160" i="1"/>
  <c r="L160" i="1"/>
  <c r="M159" i="1"/>
  <c r="L159" i="1"/>
  <c r="M158" i="1"/>
  <c r="L158" i="1"/>
  <c r="M155" i="1"/>
  <c r="S155" i="1" s="1"/>
  <c r="L155" i="1"/>
  <c r="R155" i="1" s="1"/>
  <c r="M154" i="1"/>
  <c r="L154" i="1"/>
  <c r="M153" i="1"/>
  <c r="L153" i="1"/>
  <c r="M152" i="1"/>
  <c r="L152" i="1"/>
  <c r="M151" i="1"/>
  <c r="L151" i="1"/>
  <c r="M150" i="1"/>
  <c r="L150" i="1"/>
  <c r="K137" i="1"/>
  <c r="J137" i="1"/>
  <c r="M129" i="1"/>
  <c r="L129" i="1"/>
  <c r="M118" i="1"/>
  <c r="L118" i="1"/>
  <c r="K102" i="1"/>
  <c r="J102" i="1"/>
  <c r="K101" i="1"/>
  <c r="J101" i="1"/>
  <c r="K100" i="1"/>
  <c r="J100" i="1"/>
  <c r="K99" i="1"/>
  <c r="J99" i="1"/>
  <c r="K98" i="1"/>
  <c r="J98" i="1"/>
  <c r="K95" i="1"/>
  <c r="J95" i="1"/>
  <c r="K94" i="1"/>
  <c r="J94" i="1"/>
  <c r="K77" i="1"/>
  <c r="K76" i="1" s="1"/>
  <c r="J77" i="1"/>
  <c r="J76" i="1" s="1"/>
  <c r="K74" i="1"/>
  <c r="J74" i="1"/>
  <c r="K73" i="1"/>
  <c r="J73" i="1"/>
  <c r="K72" i="1"/>
  <c r="J72" i="1"/>
  <c r="K71" i="1"/>
  <c r="J71" i="1"/>
  <c r="M59" i="1"/>
  <c r="S59" i="1" s="1"/>
  <c r="L59" i="1"/>
  <c r="R59" i="1" s="1"/>
  <c r="M58" i="1"/>
  <c r="S58" i="1" s="1"/>
  <c r="L58" i="1"/>
  <c r="R58" i="1" s="1"/>
  <c r="M57" i="1"/>
  <c r="S57" i="1" s="1"/>
  <c r="L57" i="1"/>
  <c r="R57" i="1" s="1"/>
  <c r="M47" i="1"/>
  <c r="M40" i="1" s="1"/>
  <c r="L47" i="1"/>
  <c r="L40" i="1" s="1"/>
  <c r="K44" i="1"/>
  <c r="J44" i="1"/>
  <c r="J40" i="1" s="1"/>
  <c r="K43" i="1"/>
  <c r="K40" i="1" l="1"/>
  <c r="K34" i="1"/>
  <c r="J34" i="1"/>
  <c r="K29" i="1"/>
  <c r="J29" i="1"/>
  <c r="I31" i="1"/>
  <c r="H31" i="1"/>
  <c r="I30" i="1"/>
  <c r="H30" i="1"/>
  <c r="O17" i="1"/>
  <c r="N17" i="1"/>
  <c r="M22" i="1"/>
  <c r="L22" i="1"/>
  <c r="M14" i="1"/>
  <c r="L14" i="1"/>
  <c r="K27" i="1"/>
  <c r="J27" i="1"/>
  <c r="K25" i="1"/>
  <c r="J25" i="1"/>
  <c r="K23" i="1"/>
  <c r="J23" i="1"/>
  <c r="K21" i="1"/>
  <c r="J21" i="1"/>
  <c r="K16" i="1"/>
  <c r="J16" i="1"/>
  <c r="K15" i="1"/>
  <c r="J15" i="1"/>
  <c r="I86" i="1" l="1"/>
  <c r="H86" i="1"/>
  <c r="I85" i="1"/>
  <c r="H85" i="1"/>
  <c r="I84" i="1"/>
  <c r="H84" i="1"/>
  <c r="I82" i="1"/>
  <c r="H82" i="1"/>
  <c r="O112" i="1"/>
  <c r="N112" i="1"/>
  <c r="O111" i="1"/>
  <c r="N111" i="1"/>
  <c r="M113" i="1"/>
  <c r="L113" i="1"/>
  <c r="M110" i="1"/>
  <c r="L110" i="1"/>
  <c r="K108" i="1"/>
  <c r="J108" i="1"/>
  <c r="K107" i="1"/>
  <c r="J107" i="1"/>
  <c r="K106" i="1"/>
  <c r="J106" i="1"/>
  <c r="I109" i="1"/>
  <c r="H109" i="1" l="1"/>
  <c r="J18" i="8" l="1"/>
  <c r="J40" i="8"/>
  <c r="I40" i="8"/>
  <c r="E67" i="1" l="1"/>
  <c r="F67" i="1"/>
  <c r="D67" i="1"/>
  <c r="E10" i="1"/>
  <c r="F10" i="1"/>
  <c r="D10" i="1"/>
  <c r="I87" i="1"/>
  <c r="I81" i="1" s="1"/>
  <c r="H87" i="1"/>
  <c r="H81" i="1" s="1"/>
  <c r="K83" i="1"/>
  <c r="K81" i="1" s="1"/>
  <c r="J83" i="1"/>
  <c r="J81"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6" i="3"/>
  <c r="AC66" i="3"/>
  <c r="AB66" i="3"/>
  <c r="AA66" i="3"/>
  <c r="Z66" i="3"/>
  <c r="AE66" i="3" l="1"/>
  <c r="D54" i="4" s="1"/>
  <c r="F56" i="7"/>
  <c r="F54" i="7"/>
  <c r="F51" i="7"/>
  <c r="F45" i="7"/>
  <c r="F41" i="7"/>
  <c r="F40" i="7"/>
  <c r="F39" i="7"/>
  <c r="F38" i="7"/>
  <c r="F12" i="7"/>
  <c r="F15" i="7"/>
  <c r="F17" i="7"/>
  <c r="F18" i="7"/>
  <c r="F29" i="7"/>
  <c r="F30" i="7"/>
  <c r="F31" i="7"/>
  <c r="F32" i="7"/>
  <c r="F33" i="7"/>
  <c r="F35" i="7"/>
  <c r="AD65" i="3"/>
  <c r="AC65" i="3"/>
  <c r="AB65" i="3"/>
  <c r="AA65" i="3"/>
  <c r="Z65" i="3"/>
  <c r="AD64" i="3"/>
  <c r="AC64" i="3"/>
  <c r="AB64" i="3"/>
  <c r="AA64" i="3"/>
  <c r="Z64" i="3"/>
  <c r="AD63" i="3"/>
  <c r="AC63" i="3"/>
  <c r="AB63" i="3"/>
  <c r="AA63" i="3"/>
  <c r="Z63" i="3"/>
  <c r="AD62" i="3"/>
  <c r="AC62" i="3"/>
  <c r="AB62" i="3"/>
  <c r="AA62" i="3"/>
  <c r="Z62" i="3"/>
  <c r="AD61" i="3"/>
  <c r="AC61" i="3"/>
  <c r="AB61" i="3"/>
  <c r="AA61" i="3"/>
  <c r="Z61" i="3"/>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9" i="3" l="1"/>
  <c r="D47" i="4" s="1"/>
  <c r="AE65" i="3"/>
  <c r="AE64" i="3"/>
  <c r="D52" i="4" s="1"/>
  <c r="AE63" i="3"/>
  <c r="D51" i="4" s="1"/>
  <c r="AE62" i="3"/>
  <c r="D50" i="4" s="1"/>
  <c r="AE61" i="3"/>
  <c r="D49" i="4" s="1"/>
  <c r="AE60" i="3"/>
  <c r="D48" i="4" s="1"/>
  <c r="AE58" i="3"/>
  <c r="D46" i="4" s="1"/>
  <c r="AE57" i="3"/>
  <c r="D45" i="4" s="1"/>
  <c r="AE56" i="3"/>
  <c r="D44" i="4" s="1"/>
  <c r="AE55" i="3"/>
  <c r="D43" i="4" s="1"/>
  <c r="AE54" i="3"/>
  <c r="D42" i="4" s="1"/>
  <c r="AE53"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30"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80" i="1"/>
  <c r="G79" i="1" s="1"/>
  <c r="G67" i="1" s="1"/>
  <c r="S192" i="1"/>
  <c r="R192" i="1"/>
  <c r="S191" i="1"/>
  <c r="R191" i="1"/>
  <c r="S190" i="1"/>
  <c r="R190" i="1"/>
  <c r="S189" i="1"/>
  <c r="R189" i="1"/>
  <c r="S188" i="1"/>
  <c r="R188" i="1"/>
  <c r="S187" i="1"/>
  <c r="R187" i="1"/>
  <c r="Q186" i="1"/>
  <c r="J34" i="5" s="1"/>
  <c r="P186" i="1"/>
  <c r="P185" i="1" s="1"/>
  <c r="O186" i="1"/>
  <c r="N186" i="1"/>
  <c r="N185" i="1" s="1"/>
  <c r="M186" i="1"/>
  <c r="H34" i="5" s="1"/>
  <c r="L186" i="1"/>
  <c r="L185" i="1" s="1"/>
  <c r="K186" i="1"/>
  <c r="J186" i="1"/>
  <c r="J185" i="1" s="1"/>
  <c r="I186" i="1"/>
  <c r="F34" i="5" s="1"/>
  <c r="H186" i="1"/>
  <c r="H185" i="1" s="1"/>
  <c r="G186" i="1"/>
  <c r="E34" i="5" s="1"/>
  <c r="F186" i="1"/>
  <c r="E186" i="1"/>
  <c r="D34" i="5" s="1"/>
  <c r="D186" i="1"/>
  <c r="S183" i="1"/>
  <c r="R183" i="1"/>
  <c r="S182" i="1"/>
  <c r="R182" i="1"/>
  <c r="S180" i="1"/>
  <c r="R180" i="1"/>
  <c r="S179" i="1"/>
  <c r="R179" i="1"/>
  <c r="Q178" i="1"/>
  <c r="P178" i="1"/>
  <c r="P177" i="1" s="1"/>
  <c r="O178" i="1"/>
  <c r="I33" i="5" s="1"/>
  <c r="N178" i="1"/>
  <c r="N177" i="1" s="1"/>
  <c r="M178" i="1"/>
  <c r="L178" i="1"/>
  <c r="L177" i="1" s="1"/>
  <c r="K178" i="1"/>
  <c r="G33" i="5" s="1"/>
  <c r="J178" i="1"/>
  <c r="J177" i="1" s="1"/>
  <c r="I178" i="1"/>
  <c r="F33" i="5" s="1"/>
  <c r="H178" i="1"/>
  <c r="H177" i="1" s="1"/>
  <c r="S176" i="1"/>
  <c r="R176" i="1"/>
  <c r="S175" i="1"/>
  <c r="R175" i="1"/>
  <c r="S174" i="1"/>
  <c r="R174" i="1"/>
  <c r="S173" i="1"/>
  <c r="R173" i="1"/>
  <c r="S172" i="1"/>
  <c r="R172" i="1"/>
  <c r="S171" i="1"/>
  <c r="R171" i="1"/>
  <c r="Q170" i="1"/>
  <c r="J32" i="5" s="1"/>
  <c r="P170" i="1"/>
  <c r="O170" i="1"/>
  <c r="N170" i="1"/>
  <c r="M170" i="1"/>
  <c r="H32" i="5" s="1"/>
  <c r="L170" i="1"/>
  <c r="K170" i="1"/>
  <c r="J170" i="1"/>
  <c r="I170" i="1"/>
  <c r="F32" i="5" s="1"/>
  <c r="F32" i="6" s="1"/>
  <c r="H170" i="1"/>
  <c r="S167" i="1"/>
  <c r="S168" i="1"/>
  <c r="S169" i="1"/>
  <c r="R167" i="1"/>
  <c r="R168" i="1"/>
  <c r="R169" i="1"/>
  <c r="S166" i="1"/>
  <c r="R166" i="1"/>
  <c r="Q165" i="1"/>
  <c r="J31" i="5" s="1"/>
  <c r="P165" i="1"/>
  <c r="O165" i="1"/>
  <c r="I31" i="5" s="1"/>
  <c r="N165" i="1"/>
  <c r="M165" i="1"/>
  <c r="H31" i="5" s="1"/>
  <c r="L165" i="1"/>
  <c r="K165" i="1"/>
  <c r="G31" i="5" s="1"/>
  <c r="J165" i="1"/>
  <c r="I165" i="1"/>
  <c r="F31" i="5" s="1"/>
  <c r="H165" i="1"/>
  <c r="G165" i="1"/>
  <c r="E31" i="5" s="1"/>
  <c r="F165" i="1"/>
  <c r="E165" i="1"/>
  <c r="D31" i="5" s="1"/>
  <c r="D165" i="1"/>
  <c r="S163" i="1"/>
  <c r="R163" i="1"/>
  <c r="S162" i="1"/>
  <c r="R162" i="1"/>
  <c r="S161" i="1"/>
  <c r="R161" i="1"/>
  <c r="S160" i="1"/>
  <c r="R160" i="1"/>
  <c r="S159" i="1"/>
  <c r="R159" i="1"/>
  <c r="S158" i="1"/>
  <c r="R158" i="1"/>
  <c r="Q157" i="1"/>
  <c r="P157" i="1"/>
  <c r="P156" i="1" s="1"/>
  <c r="O157" i="1"/>
  <c r="I30" i="5" s="1"/>
  <c r="N157" i="1"/>
  <c r="N156" i="1" s="1"/>
  <c r="M157" i="1"/>
  <c r="L157" i="1"/>
  <c r="L156" i="1" s="1"/>
  <c r="K157" i="1"/>
  <c r="G30" i="5" s="1"/>
  <c r="J157" i="1"/>
  <c r="J156" i="1" s="1"/>
  <c r="I157" i="1"/>
  <c r="F30" i="5" s="1"/>
  <c r="H157" i="1"/>
  <c r="H156" i="1" s="1"/>
  <c r="G157" i="1"/>
  <c r="E30" i="5" s="1"/>
  <c r="F157" i="1"/>
  <c r="F156" i="1" s="1"/>
  <c r="E157" i="1"/>
  <c r="D30" i="5" s="1"/>
  <c r="D157" i="1"/>
  <c r="D156" i="1" s="1"/>
  <c r="S154" i="1"/>
  <c r="N149" i="1"/>
  <c r="N139" i="1" s="1"/>
  <c r="S153" i="1"/>
  <c r="R153" i="1"/>
  <c r="S152" i="1"/>
  <c r="R152" i="1"/>
  <c r="S151" i="1"/>
  <c r="R151" i="1"/>
  <c r="S150" i="1"/>
  <c r="R150" i="1"/>
  <c r="Q149" i="1"/>
  <c r="J29" i="5" s="1"/>
  <c r="P149" i="1"/>
  <c r="P139" i="1" s="1"/>
  <c r="O149" i="1"/>
  <c r="I29" i="5" s="1"/>
  <c r="M149" i="1"/>
  <c r="H29" i="5" s="1"/>
  <c r="L149" i="1"/>
  <c r="L139" i="1" s="1"/>
  <c r="K149" i="1"/>
  <c r="G29" i="5" s="1"/>
  <c r="J149" i="1"/>
  <c r="J139" i="1" s="1"/>
  <c r="I149" i="1"/>
  <c r="F29" i="5" s="1"/>
  <c r="H149" i="1"/>
  <c r="H139" i="1" s="1"/>
  <c r="G149" i="1"/>
  <c r="E29" i="5" s="1"/>
  <c r="F149" i="1"/>
  <c r="F139" i="1" s="1"/>
  <c r="E149" i="1"/>
  <c r="D29" i="5" s="1"/>
  <c r="D149" i="1"/>
  <c r="D139" i="1" s="1"/>
  <c r="S137" i="1"/>
  <c r="R137" i="1"/>
  <c r="S136" i="1"/>
  <c r="R136" i="1"/>
  <c r="Q135" i="1"/>
  <c r="P135" i="1"/>
  <c r="P134" i="1" s="1"/>
  <c r="O135" i="1"/>
  <c r="I27" i="5" s="1"/>
  <c r="N135" i="1"/>
  <c r="N134" i="1" s="1"/>
  <c r="M135" i="1"/>
  <c r="H27" i="5" s="1"/>
  <c r="L135" i="1"/>
  <c r="L134" i="1" s="1"/>
  <c r="K135" i="1"/>
  <c r="J135" i="1"/>
  <c r="J134" i="1" s="1"/>
  <c r="I135" i="1"/>
  <c r="F27" i="5" s="1"/>
  <c r="H135" i="1"/>
  <c r="H134" i="1" s="1"/>
  <c r="O134" i="1"/>
  <c r="S133" i="1"/>
  <c r="R133" i="1"/>
  <c r="S132" i="1"/>
  <c r="R132" i="1"/>
  <c r="S131" i="1"/>
  <c r="R131" i="1"/>
  <c r="Q130" i="1"/>
  <c r="P130" i="1"/>
  <c r="O130" i="1"/>
  <c r="I26" i="5" s="1"/>
  <c r="N130" i="1"/>
  <c r="M130" i="1"/>
  <c r="H26" i="5" s="1"/>
  <c r="L130" i="1"/>
  <c r="J130" i="1"/>
  <c r="I130" i="1"/>
  <c r="H130" i="1"/>
  <c r="S129" i="1"/>
  <c r="R129" i="1"/>
  <c r="Q127" i="1"/>
  <c r="J25" i="5" s="1"/>
  <c r="P127" i="1"/>
  <c r="O127" i="1"/>
  <c r="N127" i="1"/>
  <c r="M127" i="1"/>
  <c r="H25" i="5" s="1"/>
  <c r="L127" i="1"/>
  <c r="K127" i="1"/>
  <c r="G25" i="5" s="1"/>
  <c r="J127" i="1"/>
  <c r="I127" i="1"/>
  <c r="F25" i="5" s="1"/>
  <c r="F25" i="6" s="1"/>
  <c r="H127" i="1"/>
  <c r="S118" i="1"/>
  <c r="S117" i="1" s="1"/>
  <c r="S116" i="1" s="1"/>
  <c r="S115" i="1" s="1"/>
  <c r="R118" i="1"/>
  <c r="R117" i="1" s="1"/>
  <c r="R116" i="1" s="1"/>
  <c r="R115" i="1" s="1"/>
  <c r="Q117" i="1"/>
  <c r="P117" i="1"/>
  <c r="P116" i="1" s="1"/>
  <c r="P115" i="1" s="1"/>
  <c r="O117" i="1"/>
  <c r="N117" i="1"/>
  <c r="N116" i="1" s="1"/>
  <c r="N115" i="1" s="1"/>
  <c r="M117" i="1"/>
  <c r="L117" i="1"/>
  <c r="L116" i="1" s="1"/>
  <c r="L115" i="1" s="1"/>
  <c r="K117" i="1"/>
  <c r="J117" i="1"/>
  <c r="J116" i="1" s="1"/>
  <c r="J115" i="1" s="1"/>
  <c r="I117" i="1"/>
  <c r="H117" i="1"/>
  <c r="H116" i="1" s="1"/>
  <c r="H115" i="1" s="1"/>
  <c r="S114" i="1"/>
  <c r="R114" i="1"/>
  <c r="S113" i="1"/>
  <c r="R113" i="1"/>
  <c r="S112" i="1"/>
  <c r="R112" i="1"/>
  <c r="S111" i="1"/>
  <c r="R111" i="1"/>
  <c r="S110" i="1"/>
  <c r="R110" i="1"/>
  <c r="S109" i="1"/>
  <c r="R109" i="1"/>
  <c r="S108" i="1"/>
  <c r="R108" i="1"/>
  <c r="S107" i="1"/>
  <c r="R107" i="1"/>
  <c r="S106" i="1"/>
  <c r="R106" i="1"/>
  <c r="S105" i="1"/>
  <c r="R105" i="1"/>
  <c r="Q104" i="1"/>
  <c r="P104" i="1"/>
  <c r="P103" i="1" s="1"/>
  <c r="O104" i="1"/>
  <c r="N104" i="1"/>
  <c r="N103" i="1" s="1"/>
  <c r="M104" i="1"/>
  <c r="L104" i="1"/>
  <c r="L103" i="1" s="1"/>
  <c r="K104" i="1"/>
  <c r="J104" i="1"/>
  <c r="J103" i="1" s="1"/>
  <c r="I104" i="1"/>
  <c r="F23" i="5" s="1"/>
  <c r="H104" i="1"/>
  <c r="H103" i="1" s="1"/>
  <c r="S102" i="1"/>
  <c r="R102" i="1"/>
  <c r="S101" i="1"/>
  <c r="R101" i="1"/>
  <c r="S100" i="1"/>
  <c r="R100" i="1"/>
  <c r="S99" i="1"/>
  <c r="R99" i="1"/>
  <c r="S98" i="1"/>
  <c r="R98" i="1"/>
  <c r="S97" i="1"/>
  <c r="R97" i="1"/>
  <c r="Q96" i="1"/>
  <c r="J22" i="5" s="1"/>
  <c r="P96" i="1"/>
  <c r="O96" i="1"/>
  <c r="I22" i="5" s="1"/>
  <c r="N96" i="1"/>
  <c r="M96" i="1"/>
  <c r="H22" i="5" s="1"/>
  <c r="L96" i="1"/>
  <c r="K96" i="1"/>
  <c r="G22" i="5" s="1"/>
  <c r="J96" i="1"/>
  <c r="I96" i="1"/>
  <c r="F22" i="5" s="1"/>
  <c r="H96" i="1"/>
  <c r="S95" i="1"/>
  <c r="R95" i="1"/>
  <c r="S94" i="1"/>
  <c r="R94" i="1"/>
  <c r="Q93" i="1"/>
  <c r="J21" i="5" s="1"/>
  <c r="P93" i="1"/>
  <c r="O93" i="1"/>
  <c r="I21" i="5" s="1"/>
  <c r="N93" i="1"/>
  <c r="M93" i="1"/>
  <c r="H21" i="5" s="1"/>
  <c r="L93" i="1"/>
  <c r="K93" i="1"/>
  <c r="G21" i="5" s="1"/>
  <c r="J93" i="1"/>
  <c r="I93" i="1"/>
  <c r="F21" i="5" s="1"/>
  <c r="H93" i="1"/>
  <c r="S87" i="1"/>
  <c r="R87" i="1"/>
  <c r="S86" i="1"/>
  <c r="R86" i="1"/>
  <c r="S85" i="1"/>
  <c r="R85" i="1"/>
  <c r="S84" i="1"/>
  <c r="R84" i="1"/>
  <c r="S83" i="1"/>
  <c r="R83" i="1"/>
  <c r="S82" i="1"/>
  <c r="R82" i="1"/>
  <c r="J20" i="5"/>
  <c r="I20" i="5"/>
  <c r="H20" i="5"/>
  <c r="G20" i="5"/>
  <c r="F20" i="5"/>
  <c r="S77" i="1"/>
  <c r="R77" i="1"/>
  <c r="Q75" i="1"/>
  <c r="P75" i="1"/>
  <c r="I19" i="5"/>
  <c r="N75" i="1"/>
  <c r="L75" i="1"/>
  <c r="G19" i="5"/>
  <c r="J75" i="1"/>
  <c r="F19" i="5"/>
  <c r="H75" i="1"/>
  <c r="E19" i="5"/>
  <c r="D19" i="5"/>
  <c r="D19" i="6" s="1"/>
  <c r="O75" i="1"/>
  <c r="S74" i="1"/>
  <c r="R74" i="1"/>
  <c r="S73" i="1"/>
  <c r="R73" i="1"/>
  <c r="S72" i="1"/>
  <c r="R72" i="1"/>
  <c r="S71" i="1"/>
  <c r="R71" i="1"/>
  <c r="Q70" i="1"/>
  <c r="J18" i="5" s="1"/>
  <c r="P70" i="1"/>
  <c r="P69" i="1" s="1"/>
  <c r="O70" i="1"/>
  <c r="I18" i="5" s="1"/>
  <c r="N70" i="1"/>
  <c r="N69" i="1" s="1"/>
  <c r="M70" i="1"/>
  <c r="L70" i="1"/>
  <c r="L69" i="1" s="1"/>
  <c r="K70" i="1"/>
  <c r="G18" i="5" s="1"/>
  <c r="J70" i="1"/>
  <c r="J69" i="1" s="1"/>
  <c r="I70" i="1"/>
  <c r="F18" i="5" s="1"/>
  <c r="F18" i="6" s="1"/>
  <c r="H70" i="1"/>
  <c r="H69" i="1" s="1"/>
  <c r="S66" i="1"/>
  <c r="R66" i="1"/>
  <c r="Q63" i="1"/>
  <c r="J17" i="5" s="1"/>
  <c r="P63" i="1"/>
  <c r="O63" i="1"/>
  <c r="I17" i="5" s="1"/>
  <c r="N63" i="1"/>
  <c r="M63" i="1"/>
  <c r="H17" i="5" s="1"/>
  <c r="L63" i="1"/>
  <c r="K63" i="1"/>
  <c r="G17" i="5" s="1"/>
  <c r="J63" i="1"/>
  <c r="I63" i="1"/>
  <c r="F17" i="5" s="1"/>
  <c r="H63" i="1"/>
  <c r="G63" i="1"/>
  <c r="E17" i="5" s="1"/>
  <c r="F63" i="1"/>
  <c r="E63" i="1"/>
  <c r="D17" i="5" s="1"/>
  <c r="D17" i="6" s="1"/>
  <c r="D63" i="1"/>
  <c r="S61" i="1"/>
  <c r="S60" i="1" s="1"/>
  <c r="V60" i="1" s="1"/>
  <c r="R61" i="1"/>
  <c r="R60" i="1" s="1"/>
  <c r="S55" i="1"/>
  <c r="V55" i="1" s="1"/>
  <c r="R55" i="1"/>
  <c r="Q55" i="1"/>
  <c r="J14" i="5" s="1"/>
  <c r="P55" i="1"/>
  <c r="O55" i="1"/>
  <c r="I14" i="5" s="1"/>
  <c r="N55" i="1"/>
  <c r="M55" i="1"/>
  <c r="H14" i="5" s="1"/>
  <c r="L55" i="1"/>
  <c r="K55" i="1"/>
  <c r="G14" i="5" s="1"/>
  <c r="J55" i="1"/>
  <c r="I55" i="1"/>
  <c r="F14" i="5" s="1"/>
  <c r="H55" i="1"/>
  <c r="I156" i="1" l="1"/>
  <c r="O156" i="1"/>
  <c r="R81" i="1"/>
  <c r="S81" i="1"/>
  <c r="V81" i="1" s="1"/>
  <c r="L80" i="1"/>
  <c r="L79" i="1" s="1"/>
  <c r="R76" i="1"/>
  <c r="R75" i="1" s="1"/>
  <c r="S76" i="1"/>
  <c r="V76" i="1" s="1"/>
  <c r="J54" i="1"/>
  <c r="H54" i="1"/>
  <c r="P68" i="1"/>
  <c r="O69" i="1"/>
  <c r="O68" i="1" s="1"/>
  <c r="G18" i="6"/>
  <c r="E19" i="6"/>
  <c r="F19" i="6" s="1"/>
  <c r="G19" i="6" s="1"/>
  <c r="K69" i="1"/>
  <c r="K75" i="1"/>
  <c r="G54" i="1"/>
  <c r="G38" i="1" s="1"/>
  <c r="K22" i="5"/>
  <c r="H126" i="1"/>
  <c r="H125" i="1" s="1"/>
  <c r="D138" i="1"/>
  <c r="D124" i="1" s="1"/>
  <c r="D197" i="1" s="1"/>
  <c r="L164" i="1"/>
  <c r="L138" i="1" s="1"/>
  <c r="P164" i="1"/>
  <c r="P138" i="1" s="1"/>
  <c r="R170" i="1"/>
  <c r="H80" i="1"/>
  <c r="H79" i="1" s="1"/>
  <c r="P80" i="1"/>
  <c r="P79" i="1" s="1"/>
  <c r="R93" i="1"/>
  <c r="S127" i="1"/>
  <c r="V127" i="1" s="1"/>
  <c r="M134" i="1"/>
  <c r="K139" i="1"/>
  <c r="I177" i="1"/>
  <c r="I185" i="1"/>
  <c r="S186" i="1"/>
  <c r="E156" i="1"/>
  <c r="J80" i="1"/>
  <c r="J79" i="1" s="1"/>
  <c r="N80" i="1"/>
  <c r="N79" i="1" s="1"/>
  <c r="R135" i="1"/>
  <c r="R134" i="1" s="1"/>
  <c r="M185" i="1"/>
  <c r="F138" i="1"/>
  <c r="F124" i="1" s="1"/>
  <c r="F197" i="1" s="1"/>
  <c r="K126" i="1"/>
  <c r="G139" i="1"/>
  <c r="J126" i="1"/>
  <c r="J125" i="1" s="1"/>
  <c r="O177" i="1"/>
  <c r="R178" i="1"/>
  <c r="R177" i="1" s="1"/>
  <c r="Q185" i="1"/>
  <c r="O139" i="1"/>
  <c r="Q32" i="1"/>
  <c r="M32" i="1"/>
  <c r="N54" i="1"/>
  <c r="I32" i="1"/>
  <c r="P54" i="1"/>
  <c r="I54" i="1"/>
  <c r="K12" i="5"/>
  <c r="K21" i="5"/>
  <c r="G25" i="6"/>
  <c r="H25" i="6" s="1"/>
  <c r="F21" i="6"/>
  <c r="G21" i="6" s="1"/>
  <c r="H21" i="6" s="1"/>
  <c r="I21" i="6" s="1"/>
  <c r="J21" i="6" s="1"/>
  <c r="K14" i="5"/>
  <c r="F22" i="6"/>
  <c r="G22" i="6" s="1"/>
  <c r="H22" i="6" s="1"/>
  <c r="I22" i="6" s="1"/>
  <c r="J22" i="6" s="1"/>
  <c r="L54" i="1"/>
  <c r="K20" i="5"/>
  <c r="H68" i="1"/>
  <c r="M69" i="1"/>
  <c r="H18" i="5"/>
  <c r="K18" i="5" s="1"/>
  <c r="M75" i="1"/>
  <c r="H19" i="5"/>
  <c r="K19" i="5" s="1"/>
  <c r="M103" i="1"/>
  <c r="H23" i="5"/>
  <c r="Q103" i="1"/>
  <c r="J23" i="5"/>
  <c r="I116" i="1"/>
  <c r="I115" i="1" s="1"/>
  <c r="F24" i="5"/>
  <c r="M116" i="1"/>
  <c r="M115" i="1" s="1"/>
  <c r="H24" i="5"/>
  <c r="Q116" i="1"/>
  <c r="Q115" i="1" s="1"/>
  <c r="J24" i="5"/>
  <c r="K134" i="1"/>
  <c r="G27" i="5"/>
  <c r="D29" i="6"/>
  <c r="E29" i="6" s="1"/>
  <c r="F29" i="6" s="1"/>
  <c r="G29" i="6" s="1"/>
  <c r="H29" i="6" s="1"/>
  <c r="I29" i="6" s="1"/>
  <c r="J29" i="6" s="1"/>
  <c r="K29" i="5"/>
  <c r="D30" i="6"/>
  <c r="E30" i="6" s="1"/>
  <c r="F30" i="6" s="1"/>
  <c r="G30" i="6" s="1"/>
  <c r="M156" i="1"/>
  <c r="H30" i="5"/>
  <c r="Q156" i="1"/>
  <c r="J30" i="5"/>
  <c r="D31" i="6"/>
  <c r="E31" i="6" s="1"/>
  <c r="F31" i="6" s="1"/>
  <c r="G31" i="6" s="1"/>
  <c r="H31" i="6" s="1"/>
  <c r="I31" i="6" s="1"/>
  <c r="J31" i="6" s="1"/>
  <c r="K31" i="5"/>
  <c r="K164" i="1"/>
  <c r="G32" i="5"/>
  <c r="G32" i="6" s="1"/>
  <c r="H32" i="6" s="1"/>
  <c r="O164" i="1"/>
  <c r="I32" i="5"/>
  <c r="K185" i="1"/>
  <c r="G34" i="5"/>
  <c r="O185" i="1"/>
  <c r="I34" i="5"/>
  <c r="O80" i="1"/>
  <c r="K80" i="1"/>
  <c r="Q54" i="1"/>
  <c r="G32" i="1"/>
  <c r="G11" i="1" s="1"/>
  <c r="F14" i="6"/>
  <c r="G14" i="6" s="1"/>
  <c r="H14" i="6" s="1"/>
  <c r="I14" i="6" s="1"/>
  <c r="J14" i="6" s="1"/>
  <c r="E17" i="6"/>
  <c r="F17" i="6" s="1"/>
  <c r="G17" i="6" s="1"/>
  <c r="H17" i="6" s="1"/>
  <c r="I17" i="6" s="1"/>
  <c r="J17" i="6" s="1"/>
  <c r="S63" i="1"/>
  <c r="V63" i="1" s="1"/>
  <c r="M126" i="1"/>
  <c r="O126" i="1"/>
  <c r="O125" i="1" s="1"/>
  <c r="I25" i="5"/>
  <c r="R127" i="1"/>
  <c r="Q126" i="1"/>
  <c r="J26" i="5"/>
  <c r="I134" i="1"/>
  <c r="G156" i="1"/>
  <c r="G138" i="1" s="1"/>
  <c r="G124" i="1" s="1"/>
  <c r="K156" i="1"/>
  <c r="I164" i="1"/>
  <c r="H164" i="1"/>
  <c r="H138" i="1" s="1"/>
  <c r="K177" i="1"/>
  <c r="Q139" i="1"/>
  <c r="M139" i="1"/>
  <c r="I139" i="1"/>
  <c r="E139" i="1"/>
  <c r="K54" i="1"/>
  <c r="O32" i="1"/>
  <c r="K32" i="1"/>
  <c r="F23" i="6"/>
  <c r="E12" i="6"/>
  <c r="F12" i="6" s="1"/>
  <c r="G12" i="6" s="1"/>
  <c r="H12" i="6" s="1"/>
  <c r="I12" i="6" s="1"/>
  <c r="J12" i="6" s="1"/>
  <c r="I69" i="1"/>
  <c r="Q69" i="1"/>
  <c r="Q68" i="1" s="1"/>
  <c r="I75" i="1"/>
  <c r="I103" i="1"/>
  <c r="K103" i="1"/>
  <c r="G23" i="5"/>
  <c r="O103" i="1"/>
  <c r="I23" i="5"/>
  <c r="K116" i="1"/>
  <c r="K115" i="1" s="1"/>
  <c r="G24" i="5"/>
  <c r="O116" i="1"/>
  <c r="O115" i="1" s="1"/>
  <c r="I24" i="5"/>
  <c r="I126" i="1"/>
  <c r="F26" i="5"/>
  <c r="Q134" i="1"/>
  <c r="J27" i="5"/>
  <c r="S170" i="1"/>
  <c r="V170" i="1" s="1"/>
  <c r="M177" i="1"/>
  <c r="H33" i="5"/>
  <c r="Q177" i="1"/>
  <c r="J33" i="5"/>
  <c r="S178" i="1"/>
  <c r="V178" i="1" s="1"/>
  <c r="D34" i="6"/>
  <c r="E34" i="6" s="1"/>
  <c r="F34" i="6" s="1"/>
  <c r="Q80" i="1"/>
  <c r="M80" i="1"/>
  <c r="O54" i="1"/>
  <c r="F27" i="6"/>
  <c r="F33" i="6"/>
  <c r="G33" i="6" s="1"/>
  <c r="I80" i="1"/>
  <c r="F20" i="6"/>
  <c r="G20" i="6" s="1"/>
  <c r="H20" i="6" s="1"/>
  <c r="I20" i="6" s="1"/>
  <c r="J20" i="6" s="1"/>
  <c r="D9" i="6"/>
  <c r="M54" i="1"/>
  <c r="K17" i="5"/>
  <c r="R186" i="1"/>
  <c r="R185" i="1" s="1"/>
  <c r="Q164" i="1"/>
  <c r="M164" i="1"/>
  <c r="J164" i="1"/>
  <c r="J138" i="1" s="1"/>
  <c r="N164" i="1"/>
  <c r="N138" i="1" s="1"/>
  <c r="S165" i="1"/>
  <c r="V165" i="1" s="1"/>
  <c r="R165" i="1"/>
  <c r="R157" i="1"/>
  <c r="R156" i="1" s="1"/>
  <c r="S157" i="1"/>
  <c r="V157" i="1" s="1"/>
  <c r="S149" i="1"/>
  <c r="S130" i="1"/>
  <c r="V130" i="1" s="1"/>
  <c r="R154" i="1"/>
  <c r="R149" i="1" s="1"/>
  <c r="R139" i="1" s="1"/>
  <c r="S135" i="1"/>
  <c r="P126" i="1"/>
  <c r="P125" i="1" s="1"/>
  <c r="R130" i="1"/>
  <c r="L126" i="1"/>
  <c r="L125" i="1" s="1"/>
  <c r="N126" i="1"/>
  <c r="N125" i="1" s="1"/>
  <c r="R96" i="1"/>
  <c r="R104" i="1"/>
  <c r="R103" i="1" s="1"/>
  <c r="S104" i="1"/>
  <c r="S96" i="1"/>
  <c r="V96" i="1" s="1"/>
  <c r="S93" i="1"/>
  <c r="V93" i="1" s="1"/>
  <c r="R70" i="1"/>
  <c r="R69" i="1" s="1"/>
  <c r="L68" i="1"/>
  <c r="J68" i="1"/>
  <c r="N68" i="1"/>
  <c r="S70" i="1"/>
  <c r="R63" i="1"/>
  <c r="S48" i="1"/>
  <c r="R48" i="1"/>
  <c r="S47" i="1"/>
  <c r="R47" i="1"/>
  <c r="S46" i="1"/>
  <c r="R46" i="1"/>
  <c r="S45" i="1"/>
  <c r="R45" i="1"/>
  <c r="S44" i="1"/>
  <c r="R44" i="1"/>
  <c r="S43" i="1"/>
  <c r="R43" i="1"/>
  <c r="S42" i="1"/>
  <c r="R42" i="1"/>
  <c r="S41" i="1"/>
  <c r="R41" i="1"/>
  <c r="P39" i="1"/>
  <c r="N39" i="1"/>
  <c r="L39" i="1"/>
  <c r="J39" i="1"/>
  <c r="I40" i="1"/>
  <c r="H40" i="1"/>
  <c r="H39" i="1" s="1"/>
  <c r="S34" i="1"/>
  <c r="S33" i="1" s="1"/>
  <c r="R34" i="1"/>
  <c r="R33" i="1" s="1"/>
  <c r="R32" i="1" s="1"/>
  <c r="S31" i="1"/>
  <c r="R31" i="1"/>
  <c r="S30" i="1"/>
  <c r="R30" i="1"/>
  <c r="S29" i="1"/>
  <c r="V29" i="1" s="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4" i="1" l="1"/>
  <c r="V135" i="1"/>
  <c r="S185" i="1"/>
  <c r="V186" i="1"/>
  <c r="S139" i="1"/>
  <c r="V149" i="1"/>
  <c r="S103" i="1"/>
  <c r="V104" i="1"/>
  <c r="S69" i="1"/>
  <c r="V70" i="1"/>
  <c r="S32" i="1"/>
  <c r="V33" i="1"/>
  <c r="N124" i="1"/>
  <c r="S40" i="1"/>
  <c r="R40" i="1"/>
  <c r="R39" i="1" s="1"/>
  <c r="S156" i="1"/>
  <c r="S177" i="1"/>
  <c r="S75" i="1"/>
  <c r="R68" i="1"/>
  <c r="E138" i="1"/>
  <c r="E124" i="1" s="1"/>
  <c r="E197" i="1" s="1"/>
  <c r="H38" i="1"/>
  <c r="J38" i="1"/>
  <c r="I12" i="1"/>
  <c r="I11" i="1" s="1"/>
  <c r="M125" i="1"/>
  <c r="S126" i="1"/>
  <c r="P67" i="1"/>
  <c r="K68" i="1"/>
  <c r="G10" i="1"/>
  <c r="G197" i="1" s="1"/>
  <c r="P38" i="1"/>
  <c r="M68" i="1"/>
  <c r="N38" i="1"/>
  <c r="H19" i="6"/>
  <c r="I19" i="6" s="1"/>
  <c r="J19" i="6" s="1"/>
  <c r="R164" i="1"/>
  <c r="R138" i="1" s="1"/>
  <c r="G27" i="6"/>
  <c r="H27" i="6" s="1"/>
  <c r="I27" i="6" s="1"/>
  <c r="J27" i="6" s="1"/>
  <c r="K34" i="5"/>
  <c r="K32" i="5"/>
  <c r="P124" i="1"/>
  <c r="L67" i="1"/>
  <c r="J67" i="1"/>
  <c r="H124" i="1"/>
  <c r="R126" i="1"/>
  <c r="R125" i="1" s="1"/>
  <c r="I138" i="1"/>
  <c r="N67" i="1"/>
  <c r="K138" i="1"/>
  <c r="K125" i="1"/>
  <c r="I25" i="6"/>
  <c r="J25" i="6" s="1"/>
  <c r="S80" i="1"/>
  <c r="O138" i="1"/>
  <c r="O124" i="1" s="1"/>
  <c r="I79" i="1"/>
  <c r="M79" i="1"/>
  <c r="Q138" i="1"/>
  <c r="Q125" i="1"/>
  <c r="O79" i="1"/>
  <c r="O67" i="1" s="1"/>
  <c r="J124" i="1"/>
  <c r="K27" i="5"/>
  <c r="L124" i="1"/>
  <c r="S125" i="1"/>
  <c r="I68" i="1"/>
  <c r="H67" i="1"/>
  <c r="I32" i="6"/>
  <c r="J32" i="6" s="1"/>
  <c r="K30" i="5"/>
  <c r="H30" i="6"/>
  <c r="I30" i="6" s="1"/>
  <c r="J30" i="6" s="1"/>
  <c r="K23" i="5"/>
  <c r="G34" i="6"/>
  <c r="H34" i="6" s="1"/>
  <c r="I34" i="6" s="1"/>
  <c r="J34" i="6" s="1"/>
  <c r="H33" i="6"/>
  <c r="I33" i="6" s="1"/>
  <c r="J33" i="6" s="1"/>
  <c r="K33" i="5"/>
  <c r="K25" i="5"/>
  <c r="H18" i="6"/>
  <c r="I18" i="6" s="1"/>
  <c r="J18" i="6" s="1"/>
  <c r="S54" i="1"/>
  <c r="L38" i="1"/>
  <c r="K26" i="5"/>
  <c r="F26" i="6"/>
  <c r="G26" i="6" s="1"/>
  <c r="H26" i="6" s="1"/>
  <c r="I26" i="6" s="1"/>
  <c r="J26" i="6" s="1"/>
  <c r="G23" i="6"/>
  <c r="H23" i="6" s="1"/>
  <c r="I23" i="6" s="1"/>
  <c r="J23" i="6" s="1"/>
  <c r="I39" i="1"/>
  <c r="I38" i="1" s="1"/>
  <c r="F13" i="5"/>
  <c r="M39" i="1"/>
  <c r="M38" i="1" s="1"/>
  <c r="H13" i="5"/>
  <c r="Q39" i="1"/>
  <c r="Q38" i="1" s="1"/>
  <c r="J13" i="5"/>
  <c r="S164" i="1"/>
  <c r="Q79" i="1"/>
  <c r="Q67" i="1" s="1"/>
  <c r="I125" i="1"/>
  <c r="K79" i="1"/>
  <c r="K24" i="5"/>
  <c r="F24" i="6"/>
  <c r="G24" i="6" s="1"/>
  <c r="H24" i="6" s="1"/>
  <c r="I24" i="6" s="1"/>
  <c r="J24" i="6" s="1"/>
  <c r="N12" i="1"/>
  <c r="N11" i="1" s="1"/>
  <c r="R54" i="1"/>
  <c r="O12" i="1"/>
  <c r="O11" i="1" s="1"/>
  <c r="I9" i="5"/>
  <c r="K39" i="1"/>
  <c r="K38" i="1" s="1"/>
  <c r="G13" i="5"/>
  <c r="O39" i="1"/>
  <c r="O38" i="1" s="1"/>
  <c r="I13" i="5"/>
  <c r="R80" i="1"/>
  <c r="R79" i="1" s="1"/>
  <c r="M138" i="1"/>
  <c r="Q12" i="1"/>
  <c r="Q11" i="1" s="1"/>
  <c r="S28" i="1"/>
  <c r="P12" i="1"/>
  <c r="P11" i="1" s="1"/>
  <c r="J12" i="1"/>
  <c r="J11" i="1" s="1"/>
  <c r="H12" i="1"/>
  <c r="H11" i="1" s="1"/>
  <c r="R28" i="1"/>
  <c r="L12" i="1"/>
  <c r="L11" i="1" s="1"/>
  <c r="M12" i="1"/>
  <c r="M11" i="1" s="1"/>
  <c r="S13" i="1"/>
  <c r="R13" i="1"/>
  <c r="K12" i="1"/>
  <c r="K11" i="1" s="1"/>
  <c r="S79" i="1" l="1"/>
  <c r="V13" i="1"/>
  <c r="S68" i="1"/>
  <c r="S39" i="1"/>
  <c r="S38" i="1" s="1"/>
  <c r="V40" i="1"/>
  <c r="K67" i="1"/>
  <c r="S138" i="1"/>
  <c r="S124" i="1" s="1"/>
  <c r="R67" i="1"/>
  <c r="R12" i="1"/>
  <c r="R11" i="1" s="1"/>
  <c r="H10" i="1"/>
  <c r="H197" i="1" s="1"/>
  <c r="N10" i="1"/>
  <c r="N197" i="1" s="1"/>
  <c r="J10" i="1"/>
  <c r="J197" i="1" s="1"/>
  <c r="M124" i="1"/>
  <c r="I10" i="1"/>
  <c r="O10" i="1"/>
  <c r="O197" i="1" s="1"/>
  <c r="M67" i="1"/>
  <c r="P10" i="1"/>
  <c r="P197" i="1" s="1"/>
  <c r="I124" i="1"/>
  <c r="K124" i="1"/>
  <c r="I67" i="1"/>
  <c r="R124" i="1"/>
  <c r="Q124" i="1"/>
  <c r="Q10" i="1"/>
  <c r="L10" i="1"/>
  <c r="L197" i="1" s="1"/>
  <c r="K10" i="1"/>
  <c r="M10" i="1"/>
  <c r="K9" i="5"/>
  <c r="K13" i="5"/>
  <c r="F13" i="6"/>
  <c r="G13" i="6" s="1"/>
  <c r="H13" i="6" s="1"/>
  <c r="I13" i="6" s="1"/>
  <c r="J13" i="6" s="1"/>
  <c r="R38" i="1"/>
  <c r="E9" i="6"/>
  <c r="F9" i="6" s="1"/>
  <c r="G9" i="6" s="1"/>
  <c r="H9" i="6" s="1"/>
  <c r="I9" i="6" s="1"/>
  <c r="J9" i="6" s="1"/>
  <c r="S12" i="1"/>
  <c r="S11" i="1" s="1"/>
  <c r="S67" i="1" l="1"/>
  <c r="R10" i="1"/>
  <c r="R197" i="1" s="1"/>
  <c r="I197" i="1"/>
  <c r="M197" i="1"/>
  <c r="K197" i="1"/>
  <c r="Q197" i="1"/>
  <c r="S10" i="1"/>
  <c r="S197" i="1" l="1"/>
</calcChain>
</file>

<file path=xl/sharedStrings.xml><?xml version="1.0" encoding="utf-8"?>
<sst xmlns="http://schemas.openxmlformats.org/spreadsheetml/2006/main" count="4621" uniqueCount="1103">
  <si>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</si>
  <si>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</si>
  <si>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</si>
  <si>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</si>
  <si>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</si>
  <si>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</si>
  <si>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</si>
  <si>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</si>
  <si>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</si>
  <si>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</si>
  <si>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</si>
  <si>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</si>
  <si>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</si>
  <si>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</si>
  <si>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</si>
  <si>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</si>
  <si>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</si>
  <si>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</si>
  <si>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</si>
  <si>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</si>
  <si>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</si>
  <si>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</si>
  <si>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</si>
  <si>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</si>
  <si>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</si>
  <si>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</si>
  <si>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</si>
  <si>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</si>
  <si>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</si>
  <si>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</si>
  <si>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</si>
  <si>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</si>
  <si>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</si>
  <si>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</si>
  <si>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</si>
  <si>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</si>
  <si>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</si>
  <si>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</si>
  <si>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</si>
  <si>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</si>
  <si>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</si>
  <si>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</si>
  <si>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</si>
  <si>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</si>
  <si>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</si>
  <si>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</si>
  <si>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</si>
  <si>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</si>
  <si>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</si>
  <si>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</si>
  <si>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</si>
  <si>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</si>
  <si>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</si>
  <si>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</si>
  <si>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</si>
  <si>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</si>
  <si>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</si>
  <si>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</si>
  <si>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</si>
  <si>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</si>
  <si>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</si>
  <si>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</si>
  <si>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</si>
  <si>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</si>
  <si>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</si>
  <si>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</si>
  <si>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</si>
  <si>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</si>
  <si>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</si>
  <si>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</si>
  <si>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</si>
  <si>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</si>
  <si>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</si>
  <si>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</si>
  <si>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</si>
  <si>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</si>
  <si>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</si>
  <si>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</si>
  <si>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</si>
  <si>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</si>
  <si>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</si>
  <si>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</si>
  <si>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</si>
  <si>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</si>
  <si>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</si>
  <si>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</si>
  <si>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</si>
  <si>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</si>
  <si>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</si>
  <si>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</si>
  <si>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</si>
  <si>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</si>
  <si>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</si>
  <si>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</si>
  <si>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</si>
  <si>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</si>
  <si>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</si>
  <si>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</si>
  <si>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</si>
  <si>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</si>
  <si>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</si>
  <si>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</si>
  <si>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</si>
  <si>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</si>
  <si>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</si>
  <si>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</si>
  <si>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</si>
  <si>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</si>
  <si>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</si>
  <si>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</si>
  <si>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</si>
  <si>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</si>
  <si>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</si>
  <si>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</si>
  <si>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</si>
  <si>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</si>
  <si>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</si>
  <si>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</si>
  <si>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</si>
  <si>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</si>
  <si>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</si>
  <si>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</si>
  <si>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</si>
  <si>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</si>
  <si>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</si>
  <si>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</si>
  <si>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</si>
  <si>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</si>
  <si>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</si>
  <si>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</si>
  <si>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</si>
  <si>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</si>
  <si>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</si>
  <si>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</si>
  <si>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</si>
  <si>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</si>
  <si>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</si>
  <si>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</si>
  <si>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</si>
  <si>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</si>
  <si>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</si>
  <si>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</si>
  <si>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</si>
  <si>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</si>
  <si>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</si>
  <si>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</si>
  <si>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</si>
  <si>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</si>
  <si>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</si>
  <si>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</si>
  <si>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</si>
  <si>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</si>
  <si>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</si>
  <si>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</si>
  <si>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</si>
  <si>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</si>
  <si>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</si>
  <si>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</si>
  <si>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</si>
  <si>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</si>
  <si>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</si>
  <si>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</si>
  <si>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</si>
  <si>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</si>
  <si>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</si>
  <si>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</si>
  <si>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</si>
  <si>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</si>
  <si>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</si>
  <si>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</si>
  <si>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</si>
  <si>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</si>
  <si>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</si>
  <si>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</si>
  <si>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</si>
  <si>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</si>
  <si>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</si>
  <si>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</si>
  <si>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</si>
  <si>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</si>
  <si>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</si>
  <si>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</si>
  <si>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</si>
  <si>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</si>
  <si>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</si>
  <si>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</si>
  <si>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</si>
  <si>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</si>
  <si>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</si>
  <si>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</si>
  <si>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</si>
  <si>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</si>
  <si>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</si>
  <si>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</si>
  <si>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</si>
  <si>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</si>
  <si>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</si>
  <si>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</si>
  <si>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</si>
  <si>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</si>
  <si>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</si>
  <si>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</si>
  <si>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</si>
  <si>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</si>
  <si>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</si>
  <si>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</si>
  <si>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</si>
  <si>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</si>
  <si>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</si>
  <si>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</si>
  <si>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</si>
  <si>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</si>
  <si>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</si>
  <si>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</si>
  <si>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</si>
  <si>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</si>
  <si>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</si>
  <si>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</si>
  <si>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</si>
  <si>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</si>
  <si>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</si>
  <si>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</si>
  <si>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</si>
  <si>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</si>
  <si>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</si>
  <si>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</si>
  <si>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</si>
  <si>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</si>
  <si>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</si>
  <si>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</si>
  <si>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</si>
  <si>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</si>
  <si>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</si>
  <si>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</si>
  <si>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</si>
  <si>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</si>
  <si>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</si>
  <si>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</si>
  <si>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</si>
  <si>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</si>
  <si>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</si>
  <si>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</si>
  <si>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</si>
  <si>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</si>
  <si>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</si>
  <si>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</si>
  <si>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</si>
  <si>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</si>
  <si>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</si>
  <si>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</si>
  <si>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</si>
  <si>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</si>
  <si>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</si>
  <si>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</si>
  <si>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</si>
  <si>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</si>
  <si>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</si>
  <si>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</si>
  <si>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</si>
  <si>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</si>
  <si>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</si>
  <si>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</si>
  <si>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</si>
  <si>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</si>
  <si>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</si>
  <si>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</si>
  <si>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</si>
  <si>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</si>
  <si>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</si>
  <si>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</si>
  <si>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</si>
  <si>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</si>
  <si>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</si>
  <si>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</si>
  <si>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</si>
  <si>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</si>
  <si>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</si>
  <si>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</si>
  <si>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</si>
  <si>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</si>
  <si>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</si>
  <si>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</si>
  <si>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</si>
  <si>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</si>
  <si>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</si>
  <si>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</si>
  <si>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</si>
  <si>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</si>
  <si>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</si>
  <si>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</si>
  <si>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</si>
  <si>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</si>
  <si>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</si>
  <si>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</si>
  <si>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</si>
  <si>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</si>
  <si>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</si>
  <si>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</si>
  <si>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</si>
  <si>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</si>
  <si>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</si>
  <si>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</si>
  <si>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</si>
  <si>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</si>
  <si>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</si>
  <si>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</si>
  <si>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</si>
  <si>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</si>
  <si>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</si>
  <si>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</si>
  <si>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</si>
  <si>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</si>
  <si>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</si>
  <si>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</si>
  <si>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</si>
  <si>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</si>
  <si>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</si>
  <si>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</si>
  <si>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</si>
  <si>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</si>
  <si>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</si>
  <si>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</si>
  <si>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</si>
  <si>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</si>
  <si>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</si>
  <si>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</si>
  <si>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</si>
  <si>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</si>
  <si>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</si>
  <si>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</si>
  <si>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</si>
  <si>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</si>
  <si>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</si>
  <si>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</si>
  <si>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</si>
  <si>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</si>
  <si>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</si>
  <si>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</si>
  <si>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</si>
  <si>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</si>
  <si>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</si>
  <si>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</si>
  <si>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</si>
  <si>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</si>
  <si>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</si>
  <si>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</si>
  <si>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</si>
  <si>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</si>
  <si>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</si>
  <si>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</si>
  <si>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</si>
  <si>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</si>
  <si>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</si>
  <si>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</si>
  <si>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</si>
  <si>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</si>
  <si>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</si>
  <si>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</si>
  <si>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</si>
  <si>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</si>
  <si>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</si>
  <si>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</si>
  <si>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</si>
  <si>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</si>
  <si>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</si>
  <si>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</si>
  <si>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</si>
  <si>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</si>
  <si>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</si>
  <si>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</si>
  <si>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</si>
  <si>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</si>
  <si>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</si>
  <si>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</si>
  <si>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</si>
  <si>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</si>
  <si>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</si>
  <si>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</si>
  <si>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</si>
  <si>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</si>
  <si>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</si>
  <si>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</si>
  <si>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</si>
  <si>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</si>
  <si>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</si>
  <si>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</si>
  <si>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</si>
  <si>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</si>
  <si>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</si>
  <si>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</si>
  <si>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</si>
  <si>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</si>
  <si>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</si>
  <si>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</si>
  <si>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</si>
  <si>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</si>
  <si>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</si>
  <si>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</si>
  <si>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</si>
  <si>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</si>
  <si>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</si>
  <si>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</si>
  <si>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</si>
  <si>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</si>
  <si>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</si>
  <si>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</si>
  <si>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</si>
  <si>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</si>
  <si>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</si>
  <si>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</si>
  <si>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</si>
  <si>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</si>
  <si>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</si>
  <si>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</si>
  <si>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</si>
  <si>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</si>
  <si>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</si>
  <si>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</si>
  <si>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</si>
  <si>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</si>
  <si>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</si>
  <si>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</si>
  <si>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</si>
  <si>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</si>
  <si>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</si>
  <si>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</si>
  <si>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</si>
  <si>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</si>
  <si>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</si>
  <si>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</si>
  <si>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</si>
  <si>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</si>
  <si>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</si>
  <si>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</si>
  <si>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</si>
  <si>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</si>
  <si>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</si>
  <si>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</si>
  <si>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</si>
  <si>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</si>
  <si>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</si>
  <si>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</si>
  <si>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</si>
  <si>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</si>
  <si>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</si>
  <si>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</si>
  <si>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</si>
  <si>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</si>
  <si>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</si>
  <si>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</si>
  <si>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</si>
  <si>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</si>
  <si>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</si>
  <si>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</si>
  <si>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</si>
  <si>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</si>
  <si>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</si>
  <si>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</si>
  <si>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</si>
  <si>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</si>
  <si>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</si>
  <si>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</si>
  <si>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</si>
  <si>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</si>
  <si>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</si>
  <si>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</si>
  <si>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</si>
  <si>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</si>
  <si>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</si>
  <si>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</si>
  <si>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</si>
  <si>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</si>
  <si>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</si>
  <si>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</si>
  <si>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</si>
  <si>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</si>
  <si>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</si>
  <si>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</si>
  <si>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</si>
  <si>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</si>
  <si>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</si>
  <si>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</si>
  <si>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</si>
  <si>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</si>
  <si>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</si>
  <si>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</si>
  <si>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</si>
  <si>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</si>
  <si>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</si>
  <si>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</si>
  <si>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</si>
  <si>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</si>
  <si>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</si>
  <si>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</si>
  <si>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</si>
  <si>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</si>
  <si>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</si>
  <si>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</si>
  <si>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</si>
  <si>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</si>
  <si>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</si>
  <si>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</si>
  <si>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</si>
  <si>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</si>
  <si>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</si>
  <si>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</si>
  <si>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</si>
  <si>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</si>
  <si>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</si>
  <si>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</si>
  <si>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</si>
  <si>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</si>
  <si>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</si>
  <si>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</si>
  <si>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</si>
  <si>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</si>
  <si>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</si>
  <si>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</si>
  <si>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</si>
  <si>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</si>
  <si>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</si>
  <si>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</si>
  <si>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</si>
  <si>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</si>
  <si>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</si>
  <si>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</si>
  <si>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</si>
  <si>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</si>
  <si>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</si>
  <si>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</si>
  <si>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</si>
  <si>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</si>
  <si>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</si>
  <si>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</si>
  <si>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</si>
  <si>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</si>
  <si>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</si>
  <si>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</si>
  <si>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</si>
  <si>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</si>
  <si>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</si>
  <si>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</si>
  <si>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</si>
  <si>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</si>
  <si>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</si>
  <si>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2016.11 </t>
  </si>
  <si>
    <t>2017.09</t>
  </si>
  <si>
    <t>2016-10</t>
  </si>
  <si>
    <t>R095511-110000-1201</t>
  </si>
  <si>
    <t xml:space="preserve"> R099908-293300-1118</t>
  </si>
  <si>
    <t>R095511-120000-1202</t>
  </si>
  <si>
    <t>R095511-120000-1207</t>
  </si>
  <si>
    <t>R095511-120000-1208</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</si>
  <si>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</si>
  <si>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</si>
  <si>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</si>
  <si>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</si>
  <si>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</si>
  <si>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</si>
  <si>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</si>
  <si>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</si>
  <si>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</si>
  <si>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</si>
  <si>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</si>
  <si>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</si>
  <si>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</si>
  <si>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</si>
  <si>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</si>
  <si>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</si>
  <si>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</si>
  <si>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</si>
  <si>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</si>
  <si>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</si>
  <si>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</si>
  <si>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</si>
  <si>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</si>
  <si>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</si>
  <si>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</si>
  <si>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</si>
  <si>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</si>
  <si>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</si>
  <si>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</si>
  <si>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</si>
  <si>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</si>
  <si>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</si>
  <si>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</si>
  <si>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</si>
  <si>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</si>
  <si>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</si>
  <si>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</si>
  <si>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</si>
  <si>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</si>
  <si>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</si>
  <si>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</si>
  <si>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</si>
  <si>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</si>
  <si>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</si>
  <si>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</si>
  <si>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</si>
  <si>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</si>
  <si>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</si>
  <si>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</si>
  <si>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</si>
  <si>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</si>
  <si>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</si>
  <si>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</si>
  <si>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</si>
  <si>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</si>
  <si>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</si>
  <si>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</si>
  <si>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</si>
  <si>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</si>
  <si>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</si>
  <si>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</si>
  <si>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</si>
  <si>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</si>
  <si>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</si>
  <si>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</si>
  <si>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</si>
  <si>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</si>
  <si>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</si>
  <si>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</si>
  <si>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</si>
  <si>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</si>
  <si>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</si>
  <si>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</si>
  <si>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</si>
  <si>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</si>
  <si>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</si>
  <si>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</si>
  <si>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</si>
  <si>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</si>
  <si>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</si>
  <si>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</si>
  <si>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</si>
  <si>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</si>
  <si>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</si>
  <si>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</si>
  <si>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</si>
  <si>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</si>
  <si>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</si>
  <si>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</si>
  <si>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</si>
  <si>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</si>
  <si>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</si>
  <si>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</si>
  <si>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</si>
  <si>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</si>
  <si>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</si>
  <si>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</si>
  <si>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</si>
  <si>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</si>
  <si>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</si>
  <si>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</si>
  <si>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</si>
  <si>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</si>
  <si>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</si>
  <si>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</si>
  <si>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</si>
  <si>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</si>
  <si>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</si>
  <si>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</si>
  <si>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</si>
  <si>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</si>
  <si>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</si>
  <si>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</si>
  <si>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</si>
  <si>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</si>
  <si>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</si>
  <si>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</si>
  <si>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</si>
  <si>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</si>
  <si>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</si>
  <si>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</si>
  <si>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</si>
  <si>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</si>
  <si>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</si>
  <si>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</si>
  <si>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</si>
  <si>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</si>
  <si>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</si>
  <si>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</si>
  <si>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</si>
  <si>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</si>
  <si>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</si>
  <si>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</si>
  <si>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</si>
  <si>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</si>
  <si>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</si>
  <si>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</si>
  <si>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</si>
  <si>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</si>
  <si>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</si>
  <si>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</si>
  <si>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</si>
  <si>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</si>
  <si>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</si>
  <si>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</si>
  <si>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</si>
  <si>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</si>
  <si>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</si>
  <si>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</si>
  <si>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</si>
  <si>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</si>
  <si>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</si>
  <si>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</si>
  <si>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</si>
  <si>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</si>
  <si>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</si>
  <si>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</si>
  <si>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</si>
  <si>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</si>
  <si>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</si>
  <si>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</si>
  <si>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</si>
  <si>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</si>
  <si>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</si>
  <si>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</si>
  <si>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</si>
  <si>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</si>
  <si>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</si>
  <si>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</si>
  <si>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</si>
  <si>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</si>
  <si>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</si>
  <si>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</si>
  <si>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</si>
  <si>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</si>
  <si>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</si>
  <si>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</si>
  <si>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</si>
  <si>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</si>
  <si>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</si>
  <si>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</si>
  <si>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</si>
  <si>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</si>
  <si>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</si>
  <si>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</si>
  <si>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</si>
  <si>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</si>
  <si>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</si>
  <si>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</si>
  <si>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</si>
  <si>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</si>
  <si>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</si>
  <si>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</si>
  <si>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</si>
  <si>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</si>
  <si>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</si>
  <si>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</si>
  <si>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</si>
  <si>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</si>
  <si>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</si>
  <si>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</si>
  <si>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</si>
  <si>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</si>
  <si>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</si>
  <si>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</si>
  <si>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</si>
  <si>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</si>
  <si>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</si>
  <si>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</si>
  <si>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</si>
  <si>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</si>
  <si>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</si>
  <si>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</si>
  <si>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</si>
  <si>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</si>
  <si>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</si>
  <si>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</si>
  <si>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</si>
  <si>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</si>
  <si>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</si>
  <si>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</si>
  <si>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</si>
  <si>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</si>
  <si>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</si>
  <si>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</si>
  <si>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</si>
  <si>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</si>
  <si>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</si>
  <si>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</si>
  <si>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</si>
  <si>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</si>
  <si>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</si>
  <si>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</si>
  <si>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</si>
  <si>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</si>
  <si>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</si>
  <si>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</si>
  <si>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</si>
  <si>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</si>
  <si>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</si>
  <si>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</si>
  <si>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</si>
  <si>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</si>
  <si>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</si>
  <si>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</si>
  <si>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</si>
  <si>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</si>
  <si>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</si>
  <si>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</si>
  <si>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</si>
  <si>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</si>
  <si>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</si>
  <si>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</si>
  <si>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</si>
  <si>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</si>
  <si>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</si>
  <si>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</si>
  <si>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</si>
  <si>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</si>
  <si>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</si>
  <si>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</si>
  <si>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</si>
  <si>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</si>
  <si>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</si>
  <si>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</si>
  <si>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</si>
  <si>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</si>
  <si>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</si>
  <si>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</si>
  <si>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</si>
  <si>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</si>
  <si>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</si>
  <si>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</si>
  <si>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</si>
  <si>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</si>
  <si>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</si>
  <si>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</si>
  <si>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</si>
  <si>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</si>
  <si>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</si>
  <si>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</si>
  <si>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</si>
  <si>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</si>
  <si>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</si>
  <si>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</si>
  <si>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</si>
  <si>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</si>
  <si>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</si>
  <si>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</si>
  <si>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</si>
  <si>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</si>
  <si>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</si>
  <si>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</si>
  <si>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</si>
  <si>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</si>
  <si>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</si>
  <si>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</si>
  <si>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</si>
  <si>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</si>
  <si>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</si>
  <si>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</si>
  <si>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</si>
  <si>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</si>
  <si>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</si>
  <si>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</si>
  <si>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</si>
  <si>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</si>
  <si>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</si>
  <si>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</si>
  <si>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</si>
  <si>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</si>
  <si>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</si>
  <si>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</si>
  <si>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</si>
  <si>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</si>
  <si>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</si>
  <si>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</si>
  <si>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</si>
  <si>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</si>
  <si>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</si>
  <si>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</si>
  <si>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</si>
  <si>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</si>
  <si>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</si>
  <si>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</si>
  <si>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</si>
  <si>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</si>
  <si>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</si>
  <si>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</si>
  <si>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</si>
  <si>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</si>
  <si>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</si>
  <si>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</si>
  <si>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</si>
  <si>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</si>
  <si>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</si>
  <si>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</si>
  <si>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</si>
  <si>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</si>
  <si>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</si>
  <si>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</si>
  <si>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</si>
  <si>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</si>
  <si>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</si>
  <si>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</si>
  <si>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</si>
  <si>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</si>
  <si>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</si>
  <si>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</si>
  <si>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</si>
  <si>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</si>
  <si>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</si>
  <si>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</si>
  <si>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</si>
  <si>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</si>
  <si>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</si>
  <si>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</si>
  <si>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</si>
  <si>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</si>
  <si>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</si>
  <si>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</si>
  <si>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</si>
  <si>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</si>
  <si>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</si>
  <si>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</si>
  <si>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</si>
  <si>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</si>
  <si>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</si>
  <si>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</si>
  <si>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</si>
  <si>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</si>
  <si>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</si>
  <si>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</si>
  <si>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</si>
  <si>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</si>
  <si>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</si>
  <si>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</si>
  <si>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</si>
  <si>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</si>
  <si>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</si>
  <si>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</si>
  <si>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</si>
  <si>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</si>
  <si>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</si>
  <si>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</si>
  <si>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</si>
  <si>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</si>
  <si>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</si>
  <si>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</si>
  <si>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</si>
  <si>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</si>
  <si>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</si>
  <si>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</si>
  <si>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</si>
  <si>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</si>
  <si>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</si>
  <si>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</si>
  <si>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</si>
  <si>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</si>
  <si>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</si>
  <si>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</si>
  <si>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</si>
  <si>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</si>
  <si>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</si>
  <si>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</si>
  <si>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</si>
  <si>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</si>
  <si>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</si>
  <si>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</si>
  <si>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</si>
  <si>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</si>
  <si>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</si>
  <si>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</si>
  <si>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</si>
  <si>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</si>
  <si>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</si>
  <si>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</si>
  <si>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</si>
  <si>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</si>
  <si>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</si>
  <si>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</si>
  <si>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</si>
  <si>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</si>
  <si>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</si>
  <si>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</si>
  <si>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</si>
  <si>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</si>
  <si>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</si>
  <si>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</si>
  <si>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</si>
  <si>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</si>
  <si>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</si>
  <si>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</si>
  <si>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</si>
  <si>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</si>
  <si>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</si>
  <si>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</si>
  <si>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</si>
  <si>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</si>
  <si>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</si>
  <si>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</si>
  <si>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</si>
  <si>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</si>
  <si>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</si>
  <si>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</si>
  <si>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</si>
  <si>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</si>
  <si>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</si>
  <si>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</si>
  <si>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</si>
  <si>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</si>
  <si>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</si>
  <si>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</si>
  <si>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</si>
  <si>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</si>
  <si>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</si>
  <si>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</si>
  <si>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</si>
  <si>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</si>
  <si>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</si>
  <si>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</si>
  <si>
    <t>1.2.2.2.5</t>
  </si>
  <si>
    <t>2019.10</t>
  </si>
  <si>
    <t>2019.12</t>
  </si>
  <si>
    <t>R095513-190000-1217</t>
  </si>
  <si>
    <t>R095513-500000-1214</t>
  </si>
  <si>
    <t>Darnaus judumo priemonių įgyvendinimas Utenoje</t>
  </si>
  <si>
    <t>R099905-302900-1113</t>
  </si>
  <si>
    <t>R099905-302900-1106</t>
  </si>
  <si>
    <t xml:space="preserve"> Dviračių ir pėsčiųjų takų plėtra Ignalinos miesto Geležinkelio g., Budrių g. ir esamame take nuo Mokyklos g. į Strigailiškio kaimą            
</t>
  </si>
  <si>
    <t>2.2.1.1.11</t>
  </si>
  <si>
    <t>R090014-070600-2229</t>
  </si>
  <si>
    <t>Vandens tiekimo ir nuotekų tvarkymo infrastruktūros plėtra ir rekonstrukcija Molėtų rajone (II etapas)</t>
  </si>
  <si>
    <t>UAB ,,Molėtų vanduo"</t>
  </si>
  <si>
    <r>
      <t xml:space="preserve">Dviračių ir pėsčiųjų takų plėtra Ignalinos miesto Geležinkelio g., Budrių g.  ir </t>
    </r>
    <r>
      <rPr>
        <strike/>
        <sz val="10"/>
        <color theme="1"/>
        <rFont val="Times New Roman"/>
        <family val="1"/>
        <charset val="186"/>
      </rPr>
      <t xml:space="preserve"> </t>
    </r>
    <r>
      <rPr>
        <sz val="10"/>
        <color theme="1"/>
        <rFont val="Times New Roman"/>
        <family val="1"/>
        <charset val="186"/>
      </rPr>
      <t xml:space="preserve">esamame take nuo Mokyklos g. į Strigailiškio kaimą            
</t>
    </r>
  </si>
  <si>
    <t>1.2.1.1.9</t>
  </si>
  <si>
    <t>1.2.1.1.10</t>
  </si>
  <si>
    <t>1.2.1.1.11</t>
  </si>
  <si>
    <t>1.2.1.1.12</t>
  </si>
  <si>
    <t>1.2.1.1.13</t>
  </si>
  <si>
    <t>Ignalinos miesto Ligoninės gatvės dalies rekonstrukcija</t>
  </si>
  <si>
    <t>Saugaus eismo priemonių diegimas Ignalinos rajono keliuose</t>
  </si>
  <si>
    <t>Eismo sąlygų pagerinimas ir gyvenamosios aplinkos pasiekiamumo užtikrinimas, rekonstruojant Žvejų gatvę Anykščių mieste</t>
  </si>
  <si>
    <t>R095511-120000-1221</t>
  </si>
  <si>
    <t>2020.03</t>
  </si>
  <si>
    <t>Saugaus eismo priemonių diegimas Molėtų rajono  Giedraičių miestelyje</t>
  </si>
  <si>
    <t>2019.11</t>
  </si>
  <si>
    <t>2020.01</t>
  </si>
  <si>
    <t>2019.07</t>
  </si>
  <si>
    <t>2019.09</t>
  </si>
  <si>
    <t xml:space="preserve">Dviračių ir pėsčiųjų takų plėtra Ignalinos miesto Geležinkelio g., Budrių g. ir esamame take nuo Mokyklos g. į Strigailiškio kaimą            
</t>
  </si>
  <si>
    <t>Pagal veiksmų programą ERPF lėšomis sukurtos naujos ikimokyklinio ir priešmokyklinio ugdymo vietos</t>
  </si>
  <si>
    <t>Socialinio būsto fondo plėtra Ignalinos rajono savivaldybėje</t>
  </si>
  <si>
    <t>Sergamumo ir mirtingumo mažinimas nuo tuberkuliozės Visagino savivaldybėje</t>
  </si>
  <si>
    <t>Limitas</t>
  </si>
  <si>
    <t>R-903</t>
  </si>
  <si>
    <t>R-905</t>
  </si>
  <si>
    <t>R-908</t>
  </si>
  <si>
    <t>R-511</t>
  </si>
  <si>
    <t>R-516</t>
  </si>
  <si>
    <t>R-302</t>
  </si>
  <si>
    <t>R-014</t>
  </si>
  <si>
    <t>R-007</t>
  </si>
  <si>
    <t>R-008</t>
  </si>
  <si>
    <t>R-019</t>
  </si>
  <si>
    <t>R-705</t>
  </si>
  <si>
    <t>R-724</t>
  </si>
  <si>
    <t>R-725</t>
  </si>
  <si>
    <t>R-615</t>
  </si>
  <si>
    <t>R-408</t>
  </si>
  <si>
    <t>R-305</t>
  </si>
  <si>
    <t>R-920</t>
  </si>
  <si>
    <t>V-902+R-903</t>
  </si>
  <si>
    <t>R-518</t>
  </si>
  <si>
    <t>R-514</t>
  </si>
  <si>
    <t>R-821</t>
  </si>
  <si>
    <t>R-630</t>
  </si>
  <si>
    <t>R-407</t>
  </si>
  <si>
    <t>R-609</t>
  </si>
  <si>
    <t>R095511-120000-1224</t>
  </si>
  <si>
    <t>Saugaus eismo priemonių diegimas Zarasų mieste</t>
  </si>
  <si>
    <t>R095511-120000-1222</t>
  </si>
  <si>
    <t>R095511-120000-1223</t>
  </si>
  <si>
    <t>R095511-120000-1220</t>
  </si>
  <si>
    <t>R095511-120000-1204</t>
  </si>
  <si>
    <t>R095511-121100-1203</t>
  </si>
  <si>
    <t>R095511-120000-1205</t>
  </si>
  <si>
    <t>R095511-120000-1206</t>
  </si>
  <si>
    <t>Didžiasalio kaimo viešųjų erdvių atnaujinimas ir pastato dalies patalpų pritaikymas bendruomenės poreikiams</t>
  </si>
  <si>
    <t>P.S.380</t>
  </si>
  <si>
    <t>2020.02</t>
  </si>
  <si>
    <t>2020.05</t>
  </si>
  <si>
    <t>2.3.3</t>
  </si>
  <si>
    <t>2.3.3.1</t>
  </si>
  <si>
    <t>2.3.3.1.1</t>
  </si>
  <si>
    <t>,,INTERSURGICAL" įmonių grupė</t>
  </si>
  <si>
    <t>KT</t>
  </si>
  <si>
    <t>RSP</t>
  </si>
  <si>
    <t>R09B000-510000-2302</t>
  </si>
  <si>
    <t>Priemonė: Skatinti užimtumą regione</t>
  </si>
  <si>
    <t>RSP.01</t>
  </si>
  <si>
    <t>Sukurtos darbo vietos, vnt.</t>
  </si>
  <si>
    <t>R.N.907</t>
  </si>
  <si>
    <t xml:space="preserve">Viešojo valdymo institucijos, pagerinusios visuomenės patenkinimo teikiamomis paslaugomis indeksą </t>
  </si>
  <si>
    <t>R.S.397</t>
  </si>
  <si>
    <t>Valstybės ir savivaldybių institucijų ir įstaigų, pagal veiksmų programų ESF lėšomis įgyvendinusių paslaugų ir (ar) aptarnavimo kokybei gerinti skirtas priemones, dalis</t>
  </si>
  <si>
    <t>Uždavinys:  Didinti regiono konkurencingumą skatinant tarpregioninį bendradarbiavimą ir partnerystę</t>
  </si>
  <si>
    <t>Pasaulinio medicininių produktų gamintojo plėtros projektas                         (URPT 2018-06-07 sprendimas Nr.51/7S-31)</t>
  </si>
  <si>
    <t>Likutis (ES)</t>
  </si>
  <si>
    <r>
      <t xml:space="preserve">Pasaulinio medicininių produktų gamintojo plėtros projektas                    </t>
    </r>
    <r>
      <rPr>
        <i/>
        <sz val="10"/>
        <rFont val="Times New Roman"/>
        <family val="1"/>
        <charset val="186"/>
      </rPr>
      <t xml:space="preserve">     (URPT 2018-06-07 sprendimas Nr.51/7S-31)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</si>
</sst>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i/>
      <sz val="10"/>
      <name val="Times New Roman"/>
      <family val="1"/>
      <charset val="186"/>
    </font>
    <font>
      <b/>
      <sz val="8"/>
      <name val="Times New Roman"/>
      <family val="1"/>
      <charset val="186"/>
    </font>
    <font>
      <strike/>
      <sz val="10"/>
      <color theme="1"/>
      <name val="Times New Roman"/>
      <family val="1"/>
      <charset val="186"/>
    </font>
    <font>
      <b/>
      <sz val="11"/>
      <name val="Calibri"/>
      <family val="2"/>
      <charset val="186"/>
      <scheme val="minor"/>
    </font>
    <font>
      <sz val="11"/>
      <color theme="0"/>
      <name val="Calibri"/>
      <family val="2"/>
      <charset val="186"/>
      <scheme val="minor"/>
    </font>
    <font>
      <sz val="10"/>
      <color theme="0"/>
      <name val="Times New Roman"/>
      <family val="1"/>
      <charset val="186"/>
    </font>
    <font>
      <b/>
      <sz val="9"/>
      <name val="Times New Roman"/>
      <family val="1"/>
      <charset val="186"/>
    </font>
    <font>
      <strike/>
      <sz val="10"/>
      <color rgb="FFFF0000"/>
      <name val="Times New Roman"/>
      <family val="1"/>
      <charset val="186"/>
    </font>
    <font>
      <b/>
      <sz val="10"/>
      <color rgb="FFFF0000"/>
      <name val="Times New Roman"/>
      <family val="1"/>
      <charset val="186"/>
    </font>
    <font>
      <strike/>
      <sz val="10"/>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Border="1"/>
    <xf numFmtId="0" fontId="0" fillId="0" borderId="0" xfId="0"/>
    <xf numFmtId="0" fontId="2" fillId="0" borderId="0" xfId="0" applyFont="1"/>
    <xf numFmtId="0" fontId="1" fillId="0" borderId="1" xfId="0" applyFont="1" applyBorder="1" applyAlignment="1">
      <alignment horizontal="center"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7" fillId="0" borderId="1" xfId="0" applyFont="1" applyBorder="1" applyAlignme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5" fillId="3" borderId="1" xfId="0" applyFont="1" applyFill="1" applyBorder="1" applyAlignment="1">
      <alignment vertical="center" wrapText="1"/>
    </xf>
    <xf numFmtId="0" fontId="7" fillId="5"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5" fillId="6" borderId="1" xfId="0" applyFont="1" applyFill="1" applyBorder="1" applyAlignment="1">
      <alignment vertical="center" wrapText="1"/>
    </xf>
    <xf numFmtId="0" fontId="7" fillId="0" borderId="1" xfId="0" applyFont="1" applyBorder="1"/>
    <xf numFmtId="0" fontId="4" fillId="0" borderId="1" xfId="0" applyFont="1" applyBorder="1" applyAlignment="1">
      <alignment horizontal="center" vertical="center"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0" fontId="5" fillId="2" borderId="1" xfId="0" applyFont="1" applyFill="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right" vertical="top" wrapText="1"/>
    </xf>
    <xf numFmtId="0" fontId="5" fillId="3" borderId="1" xfId="0" applyFont="1" applyFill="1" applyBorder="1" applyAlignment="1">
      <alignment vertical="top" wrapText="1"/>
    </xf>
    <xf numFmtId="0" fontId="5" fillId="3" borderId="1" xfId="0" applyFont="1" applyFill="1" applyBorder="1" applyAlignment="1">
      <alignment vertical="top"/>
    </xf>
    <xf numFmtId="0" fontId="7" fillId="5" borderId="1" xfId="0" applyFont="1" applyFill="1" applyBorder="1" applyAlignment="1">
      <alignment vertical="top" wrapText="1"/>
    </xf>
    <xf numFmtId="0" fontId="5" fillId="6" borderId="1" xfId="0" applyFont="1" applyFill="1" applyBorder="1" applyAlignment="1">
      <alignment vertical="top" wrapText="1"/>
    </xf>
    <xf numFmtId="0" fontId="5" fillId="2" borderId="1" xfId="0" applyFont="1" applyFill="1" applyBorder="1" applyAlignment="1">
      <alignment vertical="top" wrapText="1"/>
    </xf>
    <xf numFmtId="0" fontId="7" fillId="0" borderId="1" xfId="0" applyFont="1" applyFill="1" applyBorder="1" applyAlignment="1">
      <alignment vertical="top" wrapText="1"/>
    </xf>
    <xf numFmtId="0" fontId="1" fillId="0" borderId="0" xfId="0" applyFont="1" applyBorder="1" applyAlignment="1">
      <alignment vertical="top" wrapText="1"/>
    </xf>
    <xf numFmtId="2" fontId="0" fillId="0" borderId="0" xfId="0" applyNumberFormat="1"/>
    <xf numFmtId="0" fontId="12" fillId="0" borderId="0" xfId="0" applyFont="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1" fillId="0" borderId="0" xfId="0" applyFont="1"/>
    <xf numFmtId="0" fontId="7" fillId="0" borderId="1" xfId="0" applyFont="1" applyBorder="1" applyAlignment="1">
      <alignment wrapText="1"/>
    </xf>
    <xf numFmtId="0" fontId="2" fillId="0" borderId="1" xfId="0" applyFont="1" applyBorder="1" applyAlignment="1">
      <alignment horizontal="center" vertical="center" wrapText="1"/>
    </xf>
    <xf numFmtId="0" fontId="13" fillId="0" borderId="1" xfId="0" applyFont="1" applyBorder="1"/>
    <xf numFmtId="2" fontId="14" fillId="0" borderId="1" xfId="0" applyNumberFormat="1" applyFont="1" applyBorder="1" applyAlignment="1">
      <alignment vertical="top" wrapText="1"/>
    </xf>
    <xf numFmtId="0" fontId="15" fillId="0" borderId="0" xfId="0" applyFont="1"/>
    <xf numFmtId="0" fontId="7" fillId="7"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1" fillId="7" borderId="1" xfId="0" applyFont="1" applyFill="1" applyBorder="1" applyAlignment="1">
      <alignment vertical="top" wrapText="1"/>
    </xf>
    <xf numFmtId="0" fontId="7" fillId="7" borderId="1" xfId="0" applyFont="1" applyFill="1" applyBorder="1" applyAlignment="1">
      <alignment vertical="top" wrapText="1"/>
    </xf>
    <xf numFmtId="0" fontId="14"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5" borderId="1" xfId="0" applyFont="1" applyFill="1" applyBorder="1" applyAlignment="1">
      <alignment vertical="center" wrapText="1"/>
    </xf>
    <xf numFmtId="2" fontId="13" fillId="0" borderId="1" xfId="0" applyNumberFormat="1" applyFont="1" applyBorder="1" applyAlignment="1">
      <alignment vertical="center"/>
    </xf>
    <xf numFmtId="2" fontId="13" fillId="0" borderId="1"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0" fontId="16" fillId="0" borderId="0" xfId="0" applyFont="1" applyAlignment="1">
      <alignment vertical="center"/>
    </xf>
    <xf numFmtId="0" fontId="14"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7" fillId="0" borderId="1" xfId="0" applyFont="1" applyBorder="1" applyAlignment="1">
      <alignment vertical="top" wrapText="1"/>
    </xf>
    <xf numFmtId="0" fontId="17" fillId="0" borderId="1" xfId="0" applyFont="1" applyBorder="1" applyAlignment="1">
      <alignment vertical="center" wrapText="1"/>
    </xf>
    <xf numFmtId="0" fontId="11" fillId="2" borderId="1" xfId="0" applyFont="1" applyFill="1" applyBorder="1" applyAlignment="1">
      <alignment vertical="center"/>
    </xf>
    <xf numFmtId="0" fontId="11" fillId="6" borderId="1" xfId="0" applyFont="1" applyFill="1" applyBorder="1" applyAlignment="1">
      <alignment vertical="center" wrapText="1"/>
    </xf>
    <xf numFmtId="0" fontId="11" fillId="2" borderId="1" xfId="0" applyFont="1" applyFill="1" applyBorder="1" applyAlignment="1">
      <alignment vertical="center" wrapText="1"/>
    </xf>
    <xf numFmtId="0" fontId="13" fillId="7" borderId="1" xfId="0" applyFont="1" applyFill="1" applyBorder="1" applyAlignment="1">
      <alignment vertical="center" wrapText="1"/>
    </xf>
    <xf numFmtId="0" fontId="11" fillId="7" borderId="1" xfId="0" applyFont="1" applyFill="1" applyBorder="1" applyAlignment="1">
      <alignment vertical="center" wrapText="1"/>
    </xf>
    <xf numFmtId="0" fontId="0" fillId="0" borderId="1" xfId="0" applyBorder="1"/>
    <xf numFmtId="17" fontId="13" fillId="0" borderId="1" xfId="0" applyNumberFormat="1" applyFont="1" applyFill="1" applyBorder="1" applyAlignment="1">
      <alignment horizontal="right" vertical="center" wrapText="1"/>
    </xf>
    <xf numFmtId="0" fontId="15" fillId="0" borderId="1" xfId="0" applyFont="1" applyBorder="1"/>
    <xf numFmtId="0" fontId="18" fillId="0" borderId="1" xfId="0" applyFont="1" applyBorder="1"/>
    <xf numFmtId="0" fontId="0" fillId="0" borderId="0" xfId="0" applyFill="1"/>
    <xf numFmtId="0" fontId="13" fillId="0" borderId="1" xfId="0" applyFont="1" applyFill="1" applyBorder="1" applyAlignment="1">
      <alignment vertical="center"/>
    </xf>
    <xf numFmtId="0" fontId="13" fillId="0" borderId="1" xfId="0" applyFont="1" applyFill="1" applyBorder="1" applyAlignment="1">
      <alignment vertical="top" wrapText="1"/>
    </xf>
    <xf numFmtId="0" fontId="19" fillId="0" borderId="1" xfId="0" applyFont="1" applyFill="1" applyBorder="1" applyAlignment="1">
      <alignment vertical="center" wrapText="1"/>
    </xf>
    <xf numFmtId="0" fontId="13" fillId="0" borderId="1" xfId="0" applyFont="1" applyFill="1" applyBorder="1" applyAlignment="1">
      <alignment horizontal="right" vertical="top" wrapText="1"/>
    </xf>
    <xf numFmtId="0" fontId="13" fillId="5" borderId="1" xfId="0" applyFont="1" applyFill="1" applyBorder="1" applyAlignment="1">
      <alignment vertical="center"/>
    </xf>
    <xf numFmtId="2" fontId="7" fillId="5" borderId="1" xfId="0" applyNumberFormat="1" applyFont="1" applyFill="1" applyBorder="1" applyAlignment="1">
      <alignment vertical="center" wrapText="1"/>
    </xf>
    <xf numFmtId="0" fontId="7" fillId="0" borderId="1" xfId="0" applyFont="1" applyFill="1" applyBorder="1"/>
    <xf numFmtId="0" fontId="12" fillId="0" borderId="0" xfId="0" applyFont="1" applyFill="1"/>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xf numFmtId="0" fontId="7" fillId="0" borderId="1" xfId="0" applyFont="1" applyFill="1" applyBorder="1" applyAlignment="1">
      <alignment horizontal="center" vertical="center" wrapText="1"/>
    </xf>
    <xf numFmtId="0" fontId="13" fillId="0" borderId="1" xfId="0" applyFont="1" applyFill="1" applyBorder="1"/>
    <xf numFmtId="0" fontId="13" fillId="0" borderId="1" xfId="0" applyFont="1" applyFill="1" applyBorder="1" applyAlignment="1">
      <alignment wrapText="1"/>
    </xf>
    <xf numFmtId="0" fontId="7" fillId="0" borderId="1" xfId="0" applyFont="1" applyFill="1" applyBorder="1" applyAlignment="1">
      <alignment wrapText="1"/>
    </xf>
    <xf numFmtId="0" fontId="14" fillId="0" borderId="1" xfId="0" applyFont="1" applyFill="1" applyBorder="1" applyAlignment="1">
      <alignment vertical="top" wrapText="1"/>
    </xf>
    <xf numFmtId="2" fontId="14" fillId="0" borderId="1" xfId="0" applyNumberFormat="1" applyFont="1" applyFill="1" applyBorder="1" applyAlignment="1">
      <alignment vertical="top" wrapText="1"/>
    </xf>
    <xf numFmtId="0" fontId="17"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vertical="top" wrapText="1"/>
    </xf>
    <xf numFmtId="0" fontId="13" fillId="0" borderId="0" xfId="0" applyFont="1" applyBorder="1" applyAlignment="1">
      <alignment vertical="center"/>
    </xf>
    <xf numFmtId="0" fontId="13" fillId="0" borderId="1" xfId="0" applyFont="1" applyBorder="1" applyAlignment="1">
      <alignment horizontal="right" vertical="top" wrapText="1"/>
    </xf>
    <xf numFmtId="0" fontId="11" fillId="3" borderId="1" xfId="0" applyFont="1" applyFill="1" applyBorder="1" applyAlignment="1">
      <alignment vertical="center"/>
    </xf>
    <xf numFmtId="0" fontId="13" fillId="0" borderId="1" xfId="0" applyFont="1" applyBorder="1" applyAlignment="1">
      <alignment horizontal="right" vertical="center"/>
    </xf>
    <xf numFmtId="0" fontId="14" fillId="0" borderId="1" xfId="0" applyFont="1" applyBorder="1"/>
    <xf numFmtId="0" fontId="11" fillId="0" borderId="1" xfId="0" applyFont="1" applyBorder="1" applyAlignment="1">
      <alignment vertical="center"/>
    </xf>
    <xf numFmtId="0" fontId="11" fillId="4" borderId="1" xfId="0" applyFont="1" applyFill="1" applyBorder="1" applyAlignment="1">
      <alignment vertical="center" wrapText="1"/>
    </xf>
    <xf numFmtId="0" fontId="22" fillId="3" borderId="1" xfId="0" applyFont="1" applyFill="1" applyBorder="1" applyAlignment="1">
      <alignment vertical="center" wrapText="1"/>
    </xf>
    <xf numFmtId="2" fontId="13" fillId="5" borderId="1" xfId="0" applyNumberFormat="1" applyFont="1" applyFill="1" applyBorder="1" applyAlignment="1">
      <alignment vertical="center" wrapText="1"/>
    </xf>
    <xf numFmtId="0" fontId="10" fillId="0" borderId="0" xfId="0" applyFont="1" applyAlignment="1">
      <alignment vertical="center"/>
    </xf>
    <xf numFmtId="2" fontId="7" fillId="0" borderId="1" xfId="0" applyNumberFormat="1" applyFont="1" applyBorder="1" applyAlignment="1">
      <alignment vertical="top" wrapText="1"/>
    </xf>
    <xf numFmtId="2" fontId="13" fillId="0" borderId="1" xfId="0" applyNumberFormat="1" applyFont="1" applyBorder="1" applyAlignment="1">
      <alignment vertical="top" wrapText="1"/>
    </xf>
    <xf numFmtId="164" fontId="14" fillId="0" borderId="1" xfId="0" applyNumberFormat="1" applyFont="1" applyBorder="1" applyAlignment="1">
      <alignment vertical="top" wrapText="1"/>
    </xf>
    <xf numFmtId="2" fontId="13" fillId="0" borderId="1" xfId="0" applyNumberFormat="1" applyFont="1" applyBorder="1" applyAlignment="1">
      <alignment vertical="center" wrapText="1"/>
    </xf>
    <xf numFmtId="0" fontId="7" fillId="0" borderId="1" xfId="0" applyFont="1" applyFill="1" applyBorder="1" applyAlignment="1">
      <alignment horizontal="right" vertical="top" wrapText="1"/>
    </xf>
    <xf numFmtId="1" fontId="13" fillId="0" borderId="1" xfId="0" applyNumberFormat="1" applyFont="1" applyFill="1" applyBorder="1"/>
    <xf numFmtId="0" fontId="13" fillId="7" borderId="1" xfId="0" applyFont="1" applyFill="1" applyBorder="1" applyAlignment="1">
      <alignment vertical="center"/>
    </xf>
    <xf numFmtId="0" fontId="11" fillId="7" borderId="1" xfId="0" applyFont="1" applyFill="1" applyBorder="1" applyAlignment="1">
      <alignment vertical="center"/>
    </xf>
    <xf numFmtId="0" fontId="24" fillId="0" borderId="0" xfId="0" applyFont="1" applyAlignment="1">
      <alignment horizontal="center"/>
    </xf>
    <xf numFmtId="0" fontId="11" fillId="4" borderId="1" xfId="0" applyFont="1" applyFill="1" applyBorder="1" applyAlignment="1">
      <alignment vertical="center"/>
    </xf>
    <xf numFmtId="0" fontId="22" fillId="4" borderId="1" xfId="0" applyFont="1" applyFill="1" applyBorder="1" applyAlignment="1">
      <alignment vertical="center" wrapText="1"/>
    </xf>
    <xf numFmtId="0" fontId="15" fillId="0" borderId="0" xfId="0" applyFont="1" applyBorder="1"/>
    <xf numFmtId="0" fontId="16" fillId="0" borderId="0" xfId="0" applyFont="1" applyBorder="1" applyAlignment="1">
      <alignment vertical="center" wrapText="1"/>
    </xf>
    <xf numFmtId="0" fontId="25" fillId="0" borderId="0" xfId="0" applyFont="1" applyFill="1"/>
    <xf numFmtId="0" fontId="26" fillId="0" borderId="0" xfId="0" applyFont="1" applyFill="1" applyBorder="1" applyAlignment="1">
      <alignment vertical="center"/>
    </xf>
    <xf numFmtId="0" fontId="13" fillId="5" borderId="1" xfId="0" applyFont="1" applyFill="1" applyBorder="1" applyAlignment="1">
      <alignment vertical="top" wrapText="1"/>
    </xf>
    <xf numFmtId="0" fontId="13" fillId="7" borderId="1" xfId="0" applyFont="1" applyFill="1" applyBorder="1" applyAlignment="1">
      <alignment vertical="top" wrapText="1"/>
    </xf>
    <xf numFmtId="0" fontId="11" fillId="6" borderId="1" xfId="0" applyFont="1" applyFill="1" applyBorder="1" applyAlignment="1">
      <alignment vertical="top" wrapText="1"/>
    </xf>
    <xf numFmtId="0" fontId="11" fillId="3" borderId="1" xfId="0" applyFont="1" applyFill="1" applyBorder="1" applyAlignment="1">
      <alignment vertical="top"/>
    </xf>
    <xf numFmtId="2" fontId="13" fillId="0" borderId="1" xfId="0" applyNumberFormat="1" applyFont="1" applyFill="1" applyBorder="1" applyAlignment="1">
      <alignment vertical="top" wrapText="1"/>
    </xf>
    <xf numFmtId="0" fontId="25" fillId="0" borderId="0" xfId="0" applyFont="1"/>
    <xf numFmtId="2" fontId="25" fillId="0" borderId="0" xfId="0" applyNumberFormat="1" applyFont="1"/>
    <xf numFmtId="0" fontId="25" fillId="0" borderId="0" xfId="0" applyFont="1" applyBorder="1"/>
    <xf numFmtId="0" fontId="14" fillId="7" borderId="1" xfId="0" applyFont="1" applyFill="1" applyBorder="1" applyAlignment="1">
      <alignment vertical="top" wrapText="1"/>
    </xf>
    <xf numFmtId="0" fontId="11" fillId="3" borderId="1" xfId="0" applyFont="1" applyFill="1" applyBorder="1" applyAlignment="1">
      <alignment vertical="top" wrapText="1"/>
    </xf>
    <xf numFmtId="0" fontId="11" fillId="2" borderId="1" xfId="0" applyFont="1" applyFill="1" applyBorder="1" applyAlignment="1">
      <alignment vertical="top" wrapText="1"/>
    </xf>
    <xf numFmtId="0" fontId="15" fillId="0" borderId="0" xfId="0" applyFont="1" applyFill="1" applyBorder="1"/>
    <xf numFmtId="164" fontId="14" fillId="0" borderId="1" xfId="0" applyNumberFormat="1" applyFont="1" applyFill="1" applyBorder="1" applyAlignment="1">
      <alignment vertical="top" wrapText="1"/>
    </xf>
    <xf numFmtId="2" fontId="13" fillId="0" borderId="1" xfId="0" applyNumberFormat="1" applyFont="1" applyFill="1" applyBorder="1"/>
    <xf numFmtId="0" fontId="17" fillId="5" borderId="1" xfId="0" applyFont="1" applyFill="1" applyBorder="1" applyAlignment="1">
      <alignment vertical="center" wrapText="1"/>
    </xf>
    <xf numFmtId="0" fontId="28" fillId="0" borderId="1" xfId="0" applyFont="1" applyFill="1" applyBorder="1" applyAlignment="1">
      <alignment vertical="center"/>
    </xf>
    <xf numFmtId="0" fontId="28" fillId="0" borderId="1" xfId="0" applyFont="1" applyFill="1" applyBorder="1" applyAlignment="1">
      <alignment vertical="center" wrapText="1"/>
    </xf>
    <xf numFmtId="0" fontId="29" fillId="3" borderId="1" xfId="0" applyFont="1" applyFill="1" applyBorder="1" applyAlignment="1">
      <alignment vertical="center" wrapText="1"/>
    </xf>
    <xf numFmtId="0" fontId="11" fillId="0" borderId="1" xfId="0" applyFont="1" applyFill="1" applyBorder="1" applyAlignment="1">
      <alignment vertical="center" wrapText="1"/>
    </xf>
    <xf numFmtId="0" fontId="13" fillId="0" borderId="0" xfId="0" applyFont="1" applyFill="1" applyBorder="1" applyAlignment="1">
      <alignment vertical="center"/>
    </xf>
    <xf numFmtId="0" fontId="25" fillId="0" borderId="0" xfId="0" applyFont="1" applyFill="1" applyAlignment="1">
      <alignment horizontal="right"/>
    </xf>
    <xf numFmtId="0" fontId="25" fillId="0" borderId="0" xfId="0" applyFont="1" applyFill="1" applyAlignment="1">
      <alignment horizontal="center"/>
    </xf>
    <xf numFmtId="0" fontId="25" fillId="0" borderId="0" xfId="0" applyFont="1" applyFill="1" applyAlignment="1">
      <alignment wrapText="1"/>
    </xf>
    <xf numFmtId="0" fontId="26" fillId="0" borderId="0" xfId="0" applyFont="1" applyFill="1" applyBorder="1" applyAlignment="1">
      <alignment horizontal="right" vertical="center"/>
    </xf>
    <xf numFmtId="0" fontId="25" fillId="0" borderId="0" xfId="0" applyFont="1" applyFill="1" applyAlignment="1">
      <alignment vertical="center"/>
    </xf>
    <xf numFmtId="2" fontId="26" fillId="0" borderId="0" xfId="0" applyNumberFormat="1" applyFont="1" applyFill="1" applyBorder="1" applyAlignment="1">
      <alignment vertical="center"/>
    </xf>
    <xf numFmtId="2" fontId="25" fillId="0" borderId="0" xfId="0" applyNumberFormat="1" applyFont="1" applyFill="1" applyAlignment="1">
      <alignment horizontal="right" vertical="center"/>
    </xf>
    <xf numFmtId="2" fontId="25" fillId="0" borderId="0" xfId="0" applyNumberFormat="1" applyFont="1" applyFill="1" applyAlignment="1">
      <alignment vertical="center"/>
    </xf>
    <xf numFmtId="2" fontId="13" fillId="0" borderId="1" xfId="0" applyNumberFormat="1" applyFont="1" applyFill="1" applyBorder="1" applyAlignment="1">
      <alignment horizontal="right" vertical="center" wrapText="1"/>
    </xf>
    <xf numFmtId="0" fontId="30" fillId="0" borderId="1" xfId="0" applyFont="1" applyFill="1" applyBorder="1" applyAlignment="1">
      <alignment vertical="center" wrapText="1"/>
    </xf>
    <xf numFmtId="0" fontId="30" fillId="0" borderId="1" xfId="0" applyFont="1" applyBorder="1" applyAlignment="1">
      <alignment vertical="top" wrapText="1"/>
    </xf>
    <xf numFmtId="0" fontId="25" fillId="0" borderId="0" xfId="0" applyFont="1" applyAlignment="1">
      <alignment horizontal="center"/>
    </xf>
    <xf numFmtId="0" fontId="25" fillId="0" borderId="0" xfId="0" applyFont="1" applyFill="1" applyBorder="1" applyAlignment="1">
      <alignment horizontal="center"/>
    </xf>
    <xf numFmtId="164" fontId="25" fillId="0" borderId="0" xfId="0" applyNumberFormat="1" applyFont="1"/>
    <xf numFmtId="2" fontId="25" fillId="0" borderId="0" xfId="0" applyNumberFormat="1" applyFont="1" applyFill="1"/>
    <xf numFmtId="165" fontId="25" fillId="0" borderId="0" xfId="0" applyNumberFormat="1" applyFont="1"/>
    <xf numFmtId="0" fontId="26" fillId="0" borderId="1" xfId="0" applyFont="1" applyBorder="1" applyAlignment="1">
      <alignment vertical="top" wrapText="1"/>
    </xf>
    <xf numFmtId="0" fontId="26" fillId="0" borderId="0" xfId="0" applyFont="1" applyBorder="1" applyAlignment="1">
      <alignment vertical="top" wrapText="1"/>
    </xf>
    <xf numFmtId="0" fontId="26" fillId="0" borderId="0" xfId="0" applyFont="1" applyFill="1" applyBorder="1" applyAlignment="1">
      <alignment vertical="top" wrapText="1"/>
    </xf>
    <xf numFmtId="0" fontId="30" fillId="0" borderId="1" xfId="0" applyFont="1" applyBorder="1" applyAlignment="1">
      <alignment vertical="center" wrapText="1"/>
    </xf>
    <xf numFmtId="0" fontId="15" fillId="0" borderId="1" xfId="0" applyFont="1" applyFill="1" applyBorder="1"/>
    <xf numFmtId="2" fontId="13" fillId="0" borderId="1" xfId="0" applyNumberFormat="1" applyFont="1" applyFill="1" applyBorder="1" applyAlignment="1">
      <alignment vertical="center"/>
    </xf>
    <xf numFmtId="2" fontId="13"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xf>
    <xf numFmtId="0" fontId="2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xf numFmtId="0" fontId="16" fillId="0" borderId="0" xfId="0" applyFont="1"/>
    <xf numFmtId="0" fontId="2" fillId="0" borderId="0" xfId="0" applyFont="1"/>
    <xf numFmtId="0" fontId="2" fillId="0" borderId="0" xfId="0" applyFont="1" applyAlignment="1">
      <alignmen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18"/>
  <sheetViews>
    <sheetView topLeftCell="B1" zoomScale="80" zoomScaleNormal="80" workbookViewId="0">
      <pane ySplit="9" topLeftCell="A140" activePane="bottomLeft" state="frozen"/>
      <selection pane="bottomLeft" activeCell="V12" sqref="V12"/>
    </sheetView>
  </sheetViews>
  <sheetFormatPr defaultRowHeight="15" x14ac:dyDescent="0.25"/>
  <cols>
    <col min="1" max="1" width="4.28515625" style="49" customWidth="1"/>
    <col min="2" max="2" width="10.28515625" style="49" customWidth="1"/>
    <col min="3" max="3" width="19.42578125" style="49" customWidth="1"/>
    <col min="4" max="4" width="9.140625" style="49" customWidth="1"/>
    <col min="5" max="5" width="8" style="49" customWidth="1"/>
    <col min="6" max="6" width="7.85546875" style="49" customWidth="1"/>
    <col min="7" max="7" width="9.140625" style="49" customWidth="1"/>
    <col min="8" max="8" width="11.42578125" style="49" bestFit="1" customWidth="1"/>
    <col min="9" max="9" width="12.5703125" style="49" customWidth="1"/>
    <col min="10" max="10" width="11.42578125" style="49" bestFit="1" customWidth="1"/>
    <col min="11" max="11" width="11.28515625" style="49" bestFit="1" customWidth="1"/>
    <col min="12" max="12" width="10.42578125" style="49" customWidth="1"/>
    <col min="13" max="13" width="10.5703125" style="49" customWidth="1"/>
    <col min="14" max="14" width="12" style="49" customWidth="1"/>
    <col min="15" max="15" width="11.85546875" style="49" customWidth="1"/>
    <col min="16" max="16" width="11.140625" style="49" customWidth="1"/>
    <col min="17" max="17" width="11.5703125" style="49" customWidth="1"/>
    <col min="18" max="18" width="12.140625" style="49" bestFit="1" customWidth="1"/>
    <col min="19" max="19" width="12" style="49" customWidth="1"/>
    <col min="20" max="20" width="15.140625" style="49" customWidth="1"/>
    <col min="21" max="21" width="17" style="49" customWidth="1"/>
    <col min="22" max="22" width="17.7109375" style="49" customWidth="1"/>
    <col min="23" max="23" width="13.7109375" style="49" bestFit="1" customWidth="1"/>
    <col min="24" max="16384" width="9.140625" style="49"/>
  </cols>
  <sheetData>
    <row r="1" spans="2:23" ht="15.75" customHeight="1" x14ac:dyDescent="0.25">
      <c r="P1" s="176" t="s">
        <v>141</v>
      </c>
      <c r="Q1" s="176"/>
      <c r="R1" s="176"/>
      <c r="S1" s="176"/>
    </row>
    <row r="2" spans="2:23" ht="15.75" customHeight="1" x14ac:dyDescent="0.25">
      <c r="P2" s="177" t="s">
        <v>24</v>
      </c>
      <c r="Q2" s="177"/>
      <c r="R2" s="177"/>
      <c r="S2" s="177"/>
    </row>
    <row r="3" spans="2:23" ht="15.75" customHeight="1" x14ac:dyDescent="0.25">
      <c r="P3" s="177" t="s">
        <v>25</v>
      </c>
      <c r="Q3" s="177"/>
      <c r="R3" s="177"/>
      <c r="S3" s="177"/>
    </row>
    <row r="5" spans="2:23" ht="15.75" x14ac:dyDescent="0.25">
      <c r="B5" s="175" t="s">
        <v>1</v>
      </c>
      <c r="C5" s="175"/>
      <c r="D5" s="175"/>
      <c r="E5" s="175"/>
      <c r="F5" s="175"/>
      <c r="G5" s="175"/>
      <c r="H5" s="175"/>
      <c r="I5" s="175"/>
      <c r="J5" s="175"/>
      <c r="K5" s="175"/>
      <c r="L5" s="175"/>
      <c r="M5" s="175"/>
      <c r="N5" s="175"/>
      <c r="O5" s="175"/>
      <c r="P5" s="175"/>
      <c r="Q5" s="175"/>
      <c r="R5" s="175"/>
      <c r="S5" s="175"/>
    </row>
    <row r="6" spans="2:23" x14ac:dyDescent="0.25">
      <c r="B6" s="123"/>
      <c r="C6" s="123"/>
      <c r="D6" s="123"/>
      <c r="E6" s="123"/>
      <c r="F6" s="123"/>
      <c r="G6" s="123"/>
      <c r="H6" s="123"/>
      <c r="I6" s="123"/>
      <c r="J6" s="123"/>
      <c r="K6" s="123"/>
      <c r="L6" s="123"/>
      <c r="M6" s="123"/>
      <c r="N6" s="123"/>
      <c r="O6" s="123"/>
    </row>
    <row r="7" spans="2:23" ht="15.75" x14ac:dyDescent="0.25">
      <c r="B7" s="64" t="s">
        <v>0</v>
      </c>
    </row>
    <row r="8" spans="2:23" ht="38.25" customHeight="1" x14ac:dyDescent="0.25">
      <c r="B8" s="109"/>
      <c r="C8" s="109"/>
      <c r="D8" s="178" t="s">
        <v>2</v>
      </c>
      <c r="E8" s="178"/>
      <c r="F8" s="178" t="s">
        <v>3</v>
      </c>
      <c r="G8" s="178"/>
      <c r="H8" s="178" t="s">
        <v>4</v>
      </c>
      <c r="I8" s="178"/>
      <c r="J8" s="178" t="s">
        <v>5</v>
      </c>
      <c r="K8" s="178"/>
      <c r="L8" s="178" t="s">
        <v>6</v>
      </c>
      <c r="M8" s="178"/>
      <c r="N8" s="178" t="s">
        <v>7</v>
      </c>
      <c r="O8" s="178"/>
      <c r="P8" s="178" t="s">
        <v>8</v>
      </c>
      <c r="Q8" s="178"/>
      <c r="R8" s="179" t="s">
        <v>9</v>
      </c>
      <c r="S8" s="179"/>
    </row>
    <row r="9" spans="2:23" x14ac:dyDescent="0.25">
      <c r="B9" s="110" t="s">
        <v>10</v>
      </c>
      <c r="C9" s="110" t="s">
        <v>11</v>
      </c>
      <c r="D9" s="110" t="s">
        <v>12</v>
      </c>
      <c r="E9" s="110" t="s">
        <v>13</v>
      </c>
      <c r="F9" s="110" t="s">
        <v>12</v>
      </c>
      <c r="G9" s="110" t="s">
        <v>13</v>
      </c>
      <c r="H9" s="110" t="s">
        <v>12</v>
      </c>
      <c r="I9" s="110" t="s">
        <v>13</v>
      </c>
      <c r="J9" s="110" t="s">
        <v>12</v>
      </c>
      <c r="K9" s="110" t="s">
        <v>13</v>
      </c>
      <c r="L9" s="110" t="s">
        <v>12</v>
      </c>
      <c r="M9" s="110" t="s">
        <v>13</v>
      </c>
      <c r="N9" s="110" t="s">
        <v>12</v>
      </c>
      <c r="O9" s="110" t="s">
        <v>13</v>
      </c>
      <c r="P9" s="110" t="s">
        <v>12</v>
      </c>
      <c r="Q9" s="110" t="s">
        <v>13</v>
      </c>
      <c r="R9" s="110" t="s">
        <v>12</v>
      </c>
      <c r="S9" s="110" t="s">
        <v>13</v>
      </c>
      <c r="T9" s="150"/>
      <c r="U9" s="151" t="s">
        <v>1047</v>
      </c>
      <c r="V9" s="151" t="s">
        <v>1101</v>
      </c>
      <c r="W9" s="135"/>
    </row>
    <row r="10" spans="2:23" ht="38.25" x14ac:dyDescent="0.25">
      <c r="B10" s="79" t="s">
        <v>14</v>
      </c>
      <c r="C10" s="79" t="s">
        <v>944</v>
      </c>
      <c r="D10" s="79">
        <f>D11+D38</f>
        <v>0</v>
      </c>
      <c r="E10" s="79">
        <f t="shared" ref="E10:S10" si="0">E11+E38</f>
        <v>0</v>
      </c>
      <c r="F10" s="79">
        <f t="shared" si="0"/>
        <v>0</v>
      </c>
      <c r="G10" s="79">
        <f t="shared" si="0"/>
        <v>0</v>
      </c>
      <c r="H10" s="79">
        <f t="shared" si="0"/>
        <v>4063260.86</v>
      </c>
      <c r="I10" s="79">
        <f t="shared" si="0"/>
        <v>3202415.29</v>
      </c>
      <c r="J10" s="79">
        <f t="shared" si="0"/>
        <v>8781912.5299999993</v>
      </c>
      <c r="K10" s="79">
        <f t="shared" si="0"/>
        <v>6643456.4900000002</v>
      </c>
      <c r="L10" s="79">
        <f t="shared" si="0"/>
        <v>5644578</v>
      </c>
      <c r="M10" s="79">
        <f t="shared" si="0"/>
        <v>4032909.1</v>
      </c>
      <c r="N10" s="79">
        <f t="shared" si="0"/>
        <v>6702588.6800000006</v>
      </c>
      <c r="O10" s="79">
        <f t="shared" si="0"/>
        <v>5654607.3000000007</v>
      </c>
      <c r="P10" s="79">
        <f t="shared" si="0"/>
        <v>1253620.5100000002</v>
      </c>
      <c r="Q10" s="79">
        <f t="shared" si="0"/>
        <v>584732.04</v>
      </c>
      <c r="R10" s="79">
        <f t="shared" si="0"/>
        <v>26445960.579999998</v>
      </c>
      <c r="S10" s="79">
        <f t="shared" si="0"/>
        <v>20118120.219999999</v>
      </c>
      <c r="T10" s="128"/>
      <c r="U10" s="128"/>
      <c r="V10" s="128"/>
      <c r="W10" s="135"/>
    </row>
    <row r="11" spans="2:23" ht="185.25" customHeight="1" x14ac:dyDescent="0.25">
      <c r="B11" s="75" t="s">
        <v>15</v>
      </c>
      <c r="C11" s="76" t="s">
        <v>149</v>
      </c>
      <c r="D11" s="77">
        <v>0</v>
      </c>
      <c r="E11" s="77">
        <v>0</v>
      </c>
      <c r="F11" s="77">
        <v>0</v>
      </c>
      <c r="G11" s="77">
        <f>G12+G32+G35</f>
        <v>0</v>
      </c>
      <c r="H11" s="77">
        <f t="shared" ref="H11:S11" si="1">H12+H32+H35</f>
        <v>4063260.86</v>
      </c>
      <c r="I11" s="77">
        <f t="shared" si="1"/>
        <v>3202415.29</v>
      </c>
      <c r="J11" s="77">
        <f t="shared" si="1"/>
        <v>7537309.75</v>
      </c>
      <c r="K11" s="77">
        <f t="shared" si="1"/>
        <v>5585544.1299999999</v>
      </c>
      <c r="L11" s="77">
        <f t="shared" si="1"/>
        <v>3803845.62</v>
      </c>
      <c r="M11" s="77">
        <f t="shared" si="1"/>
        <v>2705110.94</v>
      </c>
      <c r="N11" s="77">
        <f t="shared" si="1"/>
        <v>2547813.91</v>
      </c>
      <c r="O11" s="77">
        <f t="shared" si="1"/>
        <v>2165640.9300000002</v>
      </c>
      <c r="P11" s="77">
        <f t="shared" si="1"/>
        <v>0</v>
      </c>
      <c r="Q11" s="77">
        <f t="shared" si="1"/>
        <v>0</v>
      </c>
      <c r="R11" s="77">
        <f t="shared" si="1"/>
        <v>17952230.140000001</v>
      </c>
      <c r="S11" s="77">
        <f t="shared" si="1"/>
        <v>13658711.289999999</v>
      </c>
      <c r="T11" s="128"/>
      <c r="U11" s="128"/>
      <c r="V11" s="128"/>
      <c r="W11" s="135"/>
    </row>
    <row r="12" spans="2:23" ht="115.5" customHeight="1" x14ac:dyDescent="0.25">
      <c r="B12" s="107" t="s">
        <v>16</v>
      </c>
      <c r="C12" s="29" t="s">
        <v>150</v>
      </c>
      <c r="D12" s="29">
        <v>0</v>
      </c>
      <c r="E12" s="29">
        <v>0</v>
      </c>
      <c r="F12" s="29">
        <v>0</v>
      </c>
      <c r="G12" s="29">
        <v>0</v>
      </c>
      <c r="H12" s="29">
        <f t="shared" ref="H12:S12" si="2">SUM(H28,H13)</f>
        <v>4063260.86</v>
      </c>
      <c r="I12" s="29">
        <f t="shared" si="2"/>
        <v>3202415.29</v>
      </c>
      <c r="J12" s="29">
        <f>SUM(J28,J13)</f>
        <v>6641310.1299999999</v>
      </c>
      <c r="K12" s="29">
        <f t="shared" si="2"/>
        <v>4823944.45</v>
      </c>
      <c r="L12" s="29">
        <f t="shared" si="2"/>
        <v>3803845.62</v>
      </c>
      <c r="M12" s="29">
        <f t="shared" si="2"/>
        <v>2705110.94</v>
      </c>
      <c r="N12" s="29">
        <f t="shared" si="2"/>
        <v>2547813.91</v>
      </c>
      <c r="O12" s="29">
        <f t="shared" si="2"/>
        <v>2165640.9300000002</v>
      </c>
      <c r="P12" s="29">
        <f t="shared" si="2"/>
        <v>0</v>
      </c>
      <c r="Q12" s="29">
        <f t="shared" si="2"/>
        <v>0</v>
      </c>
      <c r="R12" s="29">
        <f t="shared" si="2"/>
        <v>17056230.52</v>
      </c>
      <c r="S12" s="107">
        <f t="shared" si="2"/>
        <v>12897111.609999999</v>
      </c>
      <c r="T12" s="128"/>
      <c r="U12" s="128"/>
      <c r="V12" s="128"/>
      <c r="W12" s="135"/>
    </row>
    <row r="13" spans="2:23" ht="28.5" customHeight="1" x14ac:dyDescent="0.25">
      <c r="B13" s="89" t="s">
        <v>17</v>
      </c>
      <c r="C13" s="60" t="s">
        <v>151</v>
      </c>
      <c r="D13" s="60">
        <f t="shared" ref="D13:R13" si="3">SUM(D14:D27)</f>
        <v>0</v>
      </c>
      <c r="E13" s="60">
        <f t="shared" si="3"/>
        <v>0</v>
      </c>
      <c r="F13" s="60">
        <f t="shared" si="3"/>
        <v>0</v>
      </c>
      <c r="G13" s="60">
        <f t="shared" si="3"/>
        <v>0</v>
      </c>
      <c r="H13" s="60">
        <f>SUM(H14:H27)</f>
        <v>0</v>
      </c>
      <c r="I13" s="60">
        <f t="shared" si="3"/>
        <v>0</v>
      </c>
      <c r="J13" s="60">
        <f t="shared" si="3"/>
        <v>6360310.9199999999</v>
      </c>
      <c r="K13" s="60">
        <f t="shared" si="3"/>
        <v>4585095.13</v>
      </c>
      <c r="L13" s="60">
        <f t="shared" si="3"/>
        <v>3803845.62</v>
      </c>
      <c r="M13" s="60">
        <f t="shared" si="3"/>
        <v>2705110.94</v>
      </c>
      <c r="N13" s="60">
        <f t="shared" si="3"/>
        <v>2547813.91</v>
      </c>
      <c r="O13" s="60">
        <f t="shared" si="3"/>
        <v>2165640.9300000002</v>
      </c>
      <c r="P13" s="60">
        <f t="shared" si="3"/>
        <v>0</v>
      </c>
      <c r="Q13" s="60">
        <f t="shared" si="3"/>
        <v>0</v>
      </c>
      <c r="R13" s="60">
        <f t="shared" si="3"/>
        <v>12711970.449999999</v>
      </c>
      <c r="S13" s="89">
        <f>SUM(S14:S27)</f>
        <v>9455847</v>
      </c>
      <c r="T13" s="150" t="s">
        <v>1049</v>
      </c>
      <c r="U13" s="128">
        <v>9455847</v>
      </c>
      <c r="V13" s="128">
        <f>U13-S13</f>
        <v>0</v>
      </c>
      <c r="W13" s="136"/>
    </row>
    <row r="14" spans="2:23" ht="44.25" hidden="1" customHeight="1" x14ac:dyDescent="0.25">
      <c r="B14" s="58" t="s">
        <v>50</v>
      </c>
      <c r="C14" s="59" t="s">
        <v>152</v>
      </c>
      <c r="D14" s="59">
        <v>0</v>
      </c>
      <c r="E14" s="59">
        <v>0</v>
      </c>
      <c r="F14" s="59">
        <v>0</v>
      </c>
      <c r="G14" s="59">
        <v>0</v>
      </c>
      <c r="H14" s="59">
        <v>0</v>
      </c>
      <c r="I14" s="59">
        <v>0</v>
      </c>
      <c r="J14" s="59">
        <v>0</v>
      </c>
      <c r="K14" s="59">
        <v>0</v>
      </c>
      <c r="L14" s="59">
        <f>'2 lentelė'!L11</f>
        <v>1774839.96</v>
      </c>
      <c r="M14" s="59">
        <f>'2 lentelė'!Q11</f>
        <v>1441407.94</v>
      </c>
      <c r="N14" s="59">
        <v>0</v>
      </c>
      <c r="O14" s="59">
        <v>0</v>
      </c>
      <c r="P14" s="59">
        <v>0</v>
      </c>
      <c r="Q14" s="59">
        <v>0</v>
      </c>
      <c r="R14" s="59">
        <f>D14+F14+H14+J14+L14+N14+P14</f>
        <v>1774839.96</v>
      </c>
      <c r="S14" s="58">
        <f>E14+G14+I14+K14+M14+O14+Q14</f>
        <v>1441407.94</v>
      </c>
      <c r="T14" s="128"/>
      <c r="U14" s="128"/>
      <c r="V14" s="128"/>
      <c r="W14" s="135"/>
    </row>
    <row r="15" spans="2:23" ht="45" hidden="1" customHeight="1" x14ac:dyDescent="0.25">
      <c r="B15" s="58" t="s">
        <v>51</v>
      </c>
      <c r="C15" s="59" t="s">
        <v>153</v>
      </c>
      <c r="D15" s="59">
        <v>0</v>
      </c>
      <c r="E15" s="59">
        <v>0</v>
      </c>
      <c r="F15" s="59">
        <v>0</v>
      </c>
      <c r="G15" s="59">
        <v>0</v>
      </c>
      <c r="H15" s="59">
        <v>0</v>
      </c>
      <c r="I15" s="59">
        <v>0</v>
      </c>
      <c r="J15" s="59">
        <f>'2 lentelė'!L12</f>
        <v>1142603.75</v>
      </c>
      <c r="K15" s="59">
        <f>'2 lentelė'!Q12</f>
        <v>881242</v>
      </c>
      <c r="L15" s="59">
        <v>0</v>
      </c>
      <c r="M15" s="59">
        <v>0</v>
      </c>
      <c r="N15" s="59">
        <v>0</v>
      </c>
      <c r="O15" s="59">
        <v>0</v>
      </c>
      <c r="P15" s="59">
        <v>0</v>
      </c>
      <c r="Q15" s="59">
        <v>0</v>
      </c>
      <c r="R15" s="59">
        <f>D15+F15+H15+J15+L15+N15+P15</f>
        <v>1142603.75</v>
      </c>
      <c r="S15" s="58">
        <f t="shared" ref="S15:S27" si="4">E15+G15+I15+K15+M15+O15+Q15</f>
        <v>881242</v>
      </c>
      <c r="T15" s="128"/>
      <c r="U15" s="128"/>
      <c r="V15" s="128"/>
      <c r="W15" s="135"/>
    </row>
    <row r="16" spans="2:23" ht="62.25" hidden="1" customHeight="1" x14ac:dyDescent="0.25">
      <c r="B16" s="58" t="s">
        <v>154</v>
      </c>
      <c r="C16" s="59" t="s">
        <v>155</v>
      </c>
      <c r="D16" s="59">
        <v>0</v>
      </c>
      <c r="E16" s="59">
        <v>0</v>
      </c>
      <c r="F16" s="59">
        <v>0</v>
      </c>
      <c r="G16" s="59">
        <v>0</v>
      </c>
      <c r="H16" s="59">
        <v>0</v>
      </c>
      <c r="I16" s="59">
        <v>0</v>
      </c>
      <c r="J16" s="59">
        <f>'2 lentelė'!L13</f>
        <v>672604.19</v>
      </c>
      <c r="K16" s="59">
        <f>'2 lentelė'!Q13</f>
        <v>571713.55000000005</v>
      </c>
      <c r="L16" s="59">
        <v>0</v>
      </c>
      <c r="M16" s="59">
        <v>0</v>
      </c>
      <c r="N16" s="59">
        <v>0</v>
      </c>
      <c r="O16" s="59">
        <v>0</v>
      </c>
      <c r="P16" s="59">
        <v>0</v>
      </c>
      <c r="Q16" s="59">
        <v>0</v>
      </c>
      <c r="R16" s="59">
        <f t="shared" ref="R16:R27" si="5">D16+F16+H16+J16+L16+N16+P16</f>
        <v>672604.19</v>
      </c>
      <c r="S16" s="58">
        <f t="shared" si="4"/>
        <v>571713.55000000005</v>
      </c>
      <c r="T16" s="128"/>
      <c r="U16" s="128"/>
      <c r="V16" s="128"/>
      <c r="W16" s="135"/>
    </row>
    <row r="17" spans="2:23" ht="57.75" hidden="1" customHeight="1" x14ac:dyDescent="0.25">
      <c r="B17" s="58" t="s">
        <v>156</v>
      </c>
      <c r="C17" s="59" t="s">
        <v>157</v>
      </c>
      <c r="D17" s="59">
        <v>0</v>
      </c>
      <c r="E17" s="59">
        <v>0</v>
      </c>
      <c r="F17" s="59">
        <v>0</v>
      </c>
      <c r="G17" s="59">
        <v>0</v>
      </c>
      <c r="H17" s="59">
        <v>0</v>
      </c>
      <c r="I17" s="59">
        <v>0</v>
      </c>
      <c r="J17" s="59">
        <v>0</v>
      </c>
      <c r="K17" s="59">
        <v>0</v>
      </c>
      <c r="L17" s="59">
        <v>0</v>
      </c>
      <c r="M17" s="59">
        <v>0</v>
      </c>
      <c r="N17" s="59">
        <f>'2 lentelė'!L14</f>
        <v>1426434</v>
      </c>
      <c r="O17" s="59">
        <f>'2 lentelė'!Q14</f>
        <v>1212468</v>
      </c>
      <c r="P17" s="59">
        <v>0</v>
      </c>
      <c r="Q17" s="59">
        <v>0</v>
      </c>
      <c r="R17" s="59">
        <f t="shared" si="5"/>
        <v>1426434</v>
      </c>
      <c r="S17" s="58">
        <f t="shared" si="4"/>
        <v>1212468</v>
      </c>
      <c r="T17" s="128"/>
      <c r="U17" s="128"/>
      <c r="V17" s="128"/>
      <c r="W17" s="135"/>
    </row>
    <row r="18" spans="2:23" ht="69.75" hidden="1" customHeight="1" x14ac:dyDescent="0.25">
      <c r="B18" s="58" t="s">
        <v>158</v>
      </c>
      <c r="C18" s="59" t="s">
        <v>159</v>
      </c>
      <c r="D18" s="59">
        <v>0</v>
      </c>
      <c r="E18" s="59">
        <v>0</v>
      </c>
      <c r="F18" s="59">
        <v>0</v>
      </c>
      <c r="G18" s="59">
        <v>0</v>
      </c>
      <c r="H18" s="59">
        <v>0</v>
      </c>
      <c r="I18" s="59">
        <v>0</v>
      </c>
      <c r="J18" s="59">
        <f>'2 lentelė'!L15</f>
        <v>985873.28</v>
      </c>
      <c r="K18" s="59">
        <f>'2 lentelė'!Q15</f>
        <v>492354</v>
      </c>
      <c r="L18" s="59">
        <v>0</v>
      </c>
      <c r="M18" s="59">
        <v>0</v>
      </c>
      <c r="N18" s="59">
        <v>0</v>
      </c>
      <c r="O18" s="59">
        <v>0</v>
      </c>
      <c r="P18" s="59">
        <v>0</v>
      </c>
      <c r="Q18" s="59">
        <v>0</v>
      </c>
      <c r="R18" s="59">
        <f t="shared" si="5"/>
        <v>985873.28</v>
      </c>
      <c r="S18" s="58">
        <f t="shared" si="4"/>
        <v>492354</v>
      </c>
      <c r="T18" s="128"/>
      <c r="U18" s="128"/>
      <c r="V18" s="128"/>
      <c r="W18" s="135"/>
    </row>
    <row r="19" spans="2:23" ht="66.75" hidden="1" customHeight="1" x14ac:dyDescent="0.25">
      <c r="B19" s="58" t="s">
        <v>160</v>
      </c>
      <c r="C19" s="59" t="s">
        <v>161</v>
      </c>
      <c r="D19" s="59">
        <v>0</v>
      </c>
      <c r="E19" s="59">
        <v>0</v>
      </c>
      <c r="F19" s="59">
        <v>0</v>
      </c>
      <c r="G19" s="59">
        <v>0</v>
      </c>
      <c r="H19" s="59">
        <v>0</v>
      </c>
      <c r="I19" s="59">
        <v>0</v>
      </c>
      <c r="J19" s="59">
        <v>0</v>
      </c>
      <c r="K19" s="59">
        <v>0</v>
      </c>
      <c r="L19" s="59">
        <f>'2 lentelė'!L16</f>
        <v>282353</v>
      </c>
      <c r="M19" s="59">
        <f>'2 lentelė'!Q16</f>
        <v>240000</v>
      </c>
      <c r="N19" s="59">
        <v>0</v>
      </c>
      <c r="O19" s="59">
        <v>0</v>
      </c>
      <c r="P19" s="59">
        <v>0</v>
      </c>
      <c r="Q19" s="59">
        <v>0</v>
      </c>
      <c r="R19" s="59">
        <f>D19+F19+H19+J19+L19+N19+P19</f>
        <v>282353</v>
      </c>
      <c r="S19" s="58">
        <f>E19+G19+I19+K19+M19+O19+Q19</f>
        <v>240000</v>
      </c>
      <c r="T19" s="128"/>
      <c r="U19" s="128"/>
      <c r="V19" s="128"/>
      <c r="W19" s="135"/>
    </row>
    <row r="20" spans="2:23" ht="54" hidden="1" customHeight="1" x14ac:dyDescent="0.25">
      <c r="B20" s="58" t="s">
        <v>162</v>
      </c>
      <c r="C20" s="59" t="s">
        <v>163</v>
      </c>
      <c r="D20" s="59">
        <v>0</v>
      </c>
      <c r="E20" s="59">
        <v>0</v>
      </c>
      <c r="F20" s="59">
        <v>0</v>
      </c>
      <c r="G20" s="59">
        <v>0</v>
      </c>
      <c r="H20" s="59">
        <v>0</v>
      </c>
      <c r="I20" s="59">
        <v>0</v>
      </c>
      <c r="J20" s="59">
        <v>0</v>
      </c>
      <c r="K20" s="59">
        <v>0</v>
      </c>
      <c r="L20" s="59">
        <v>0</v>
      </c>
      <c r="M20" s="59">
        <v>0</v>
      </c>
      <c r="N20" s="59">
        <f>'2 lentelė'!L17</f>
        <v>827649.08</v>
      </c>
      <c r="O20" s="59">
        <f>'2 lentelė'!Q17</f>
        <v>703501.72</v>
      </c>
      <c r="P20" s="59">
        <v>0</v>
      </c>
      <c r="Q20" s="59">
        <v>0</v>
      </c>
      <c r="R20" s="59">
        <f t="shared" si="5"/>
        <v>827649.08</v>
      </c>
      <c r="S20" s="58">
        <f t="shared" si="4"/>
        <v>703501.72</v>
      </c>
      <c r="T20" s="128"/>
      <c r="U20" s="128"/>
      <c r="V20" s="128"/>
      <c r="W20" s="135"/>
    </row>
    <row r="21" spans="2:23" ht="105" hidden="1" customHeight="1" x14ac:dyDescent="0.25">
      <c r="B21" s="58" t="s">
        <v>164</v>
      </c>
      <c r="C21" s="59" t="s">
        <v>165</v>
      </c>
      <c r="D21" s="59">
        <v>0</v>
      </c>
      <c r="E21" s="59">
        <v>0</v>
      </c>
      <c r="F21" s="59">
        <v>0</v>
      </c>
      <c r="G21" s="59">
        <v>0</v>
      </c>
      <c r="H21" s="59">
        <v>0</v>
      </c>
      <c r="I21" s="59">
        <v>0</v>
      </c>
      <c r="J21" s="59">
        <f>'2 lentelė'!L18</f>
        <v>645806.42000000004</v>
      </c>
      <c r="K21" s="51">
        <f>'2 lentelė'!Q18</f>
        <v>533679.62</v>
      </c>
      <c r="L21" s="59">
        <v>0</v>
      </c>
      <c r="M21" s="59">
        <v>0</v>
      </c>
      <c r="N21" s="59">
        <v>0</v>
      </c>
      <c r="O21" s="59">
        <v>0</v>
      </c>
      <c r="P21" s="59">
        <v>0</v>
      </c>
      <c r="Q21" s="59">
        <v>0</v>
      </c>
      <c r="R21" s="59">
        <f t="shared" si="5"/>
        <v>645806.42000000004</v>
      </c>
      <c r="S21" s="85">
        <f t="shared" si="4"/>
        <v>533679.62</v>
      </c>
      <c r="T21" s="152"/>
      <c r="U21" s="128"/>
      <c r="V21" s="128"/>
      <c r="W21" s="135"/>
    </row>
    <row r="22" spans="2:23" ht="49.5" hidden="1" customHeight="1" x14ac:dyDescent="0.25">
      <c r="B22" s="58" t="s">
        <v>166</v>
      </c>
      <c r="C22" s="59" t="s">
        <v>167</v>
      </c>
      <c r="D22" s="59">
        <v>0</v>
      </c>
      <c r="E22" s="59">
        <v>0</v>
      </c>
      <c r="F22" s="59">
        <v>0</v>
      </c>
      <c r="G22" s="59">
        <v>0</v>
      </c>
      <c r="H22" s="59">
        <v>0</v>
      </c>
      <c r="I22" s="59">
        <v>0</v>
      </c>
      <c r="J22" s="59">
        <v>0</v>
      </c>
      <c r="K22" s="59">
        <v>0</v>
      </c>
      <c r="L22" s="59">
        <f>'2 lentelė'!L19</f>
        <v>1137262.6599999999</v>
      </c>
      <c r="M22" s="59">
        <f>'2 lentelė'!Q19</f>
        <v>700000</v>
      </c>
      <c r="N22" s="59">
        <v>0</v>
      </c>
      <c r="O22" s="59">
        <v>0</v>
      </c>
      <c r="P22" s="59">
        <v>0</v>
      </c>
      <c r="Q22" s="59">
        <v>0</v>
      </c>
      <c r="R22" s="59">
        <f>L22+N22+P22</f>
        <v>1137262.6599999999</v>
      </c>
      <c r="S22" s="58">
        <f>M22+O22+Q22</f>
        <v>700000</v>
      </c>
      <c r="T22" s="128"/>
      <c r="U22" s="128"/>
      <c r="V22" s="128"/>
      <c r="W22" s="135"/>
    </row>
    <row r="23" spans="2:23" ht="44.25" hidden="1" customHeight="1" x14ac:dyDescent="0.25">
      <c r="B23" s="58" t="s">
        <v>168</v>
      </c>
      <c r="C23" s="59" t="s">
        <v>169</v>
      </c>
      <c r="D23" s="59">
        <v>0</v>
      </c>
      <c r="E23" s="59">
        <v>0</v>
      </c>
      <c r="F23" s="59">
        <v>0</v>
      </c>
      <c r="G23" s="59">
        <v>0</v>
      </c>
      <c r="H23" s="59">
        <v>0</v>
      </c>
      <c r="I23" s="59">
        <v>0</v>
      </c>
      <c r="J23" s="59">
        <f>'2 lentelė'!L20</f>
        <v>1365071.92</v>
      </c>
      <c r="K23" s="59">
        <f>'2 lentelė'!Q20</f>
        <v>865499.4</v>
      </c>
      <c r="L23" s="59">
        <v>0</v>
      </c>
      <c r="M23" s="59">
        <v>0</v>
      </c>
      <c r="N23" s="59">
        <v>0</v>
      </c>
      <c r="O23" s="59">
        <v>0</v>
      </c>
      <c r="P23" s="59">
        <v>0</v>
      </c>
      <c r="Q23" s="59">
        <v>0</v>
      </c>
      <c r="R23" s="59">
        <f>D23+F23+H23+J23+L23+N23+P23</f>
        <v>1365071.92</v>
      </c>
      <c r="S23" s="58">
        <f t="shared" si="4"/>
        <v>865499.4</v>
      </c>
      <c r="T23" s="128"/>
      <c r="U23" s="128"/>
      <c r="V23" s="128"/>
      <c r="W23" s="135"/>
    </row>
    <row r="24" spans="2:23" ht="68.25" hidden="1" customHeight="1" x14ac:dyDescent="0.25">
      <c r="B24" s="58" t="s">
        <v>170</v>
      </c>
      <c r="C24" s="59" t="s">
        <v>171</v>
      </c>
      <c r="D24" s="59">
        <v>0</v>
      </c>
      <c r="E24" s="59">
        <v>0</v>
      </c>
      <c r="F24" s="59">
        <v>0</v>
      </c>
      <c r="G24" s="59">
        <v>0</v>
      </c>
      <c r="H24" s="59">
        <v>0</v>
      </c>
      <c r="I24" s="59">
        <v>0</v>
      </c>
      <c r="J24" s="59">
        <v>0</v>
      </c>
      <c r="K24" s="59">
        <v>0</v>
      </c>
      <c r="L24" s="59">
        <v>0</v>
      </c>
      <c r="M24" s="59">
        <v>0</v>
      </c>
      <c r="N24" s="59">
        <f>'2 lentelė'!L21</f>
        <v>293730.83</v>
      </c>
      <c r="O24" s="59">
        <f>'2 lentelė'!Q21</f>
        <v>249671.21</v>
      </c>
      <c r="P24" s="59">
        <v>0</v>
      </c>
      <c r="Q24" s="59">
        <v>0</v>
      </c>
      <c r="R24" s="59">
        <f t="shared" si="5"/>
        <v>293730.83</v>
      </c>
      <c r="S24" s="58">
        <f t="shared" si="4"/>
        <v>249671.21</v>
      </c>
      <c r="T24" s="128"/>
      <c r="U24" s="128"/>
      <c r="V24" s="128"/>
      <c r="W24" s="135"/>
    </row>
    <row r="25" spans="2:23" ht="53.25" hidden="1" customHeight="1" x14ac:dyDescent="0.25">
      <c r="B25" s="58" t="s">
        <v>172</v>
      </c>
      <c r="C25" s="59" t="s">
        <v>173</v>
      </c>
      <c r="D25" s="59">
        <v>0</v>
      </c>
      <c r="E25" s="59">
        <v>0</v>
      </c>
      <c r="F25" s="59">
        <v>0</v>
      </c>
      <c r="G25" s="59">
        <v>0</v>
      </c>
      <c r="H25" s="59">
        <v>0</v>
      </c>
      <c r="I25" s="59">
        <v>0</v>
      </c>
      <c r="J25" s="59">
        <f>'2 lentelė'!L22</f>
        <v>1029990.44</v>
      </c>
      <c r="K25" s="59">
        <f>'2 lentelė'!Q22</f>
        <v>799999.78</v>
      </c>
      <c r="L25" s="59">
        <v>0</v>
      </c>
      <c r="M25" s="59">
        <v>0</v>
      </c>
      <c r="N25" s="59">
        <v>0</v>
      </c>
      <c r="O25" s="59">
        <v>0</v>
      </c>
      <c r="P25" s="59">
        <v>0</v>
      </c>
      <c r="Q25" s="59">
        <v>0</v>
      </c>
      <c r="R25" s="59">
        <f t="shared" si="5"/>
        <v>1029990.44</v>
      </c>
      <c r="S25" s="58">
        <f t="shared" si="4"/>
        <v>799999.78</v>
      </c>
      <c r="T25" s="128"/>
      <c r="U25" s="128"/>
      <c r="V25" s="128"/>
      <c r="W25" s="135"/>
    </row>
    <row r="26" spans="2:23" ht="64.5" hidden="1" customHeight="1" x14ac:dyDescent="0.25">
      <c r="B26" s="58" t="s">
        <v>174</v>
      </c>
      <c r="C26" s="59" t="s">
        <v>175</v>
      </c>
      <c r="D26" s="59">
        <v>0</v>
      </c>
      <c r="E26" s="59">
        <v>0</v>
      </c>
      <c r="F26" s="59">
        <v>0</v>
      </c>
      <c r="G26" s="59">
        <v>0</v>
      </c>
      <c r="H26" s="59">
        <v>0</v>
      </c>
      <c r="I26" s="59">
        <v>0</v>
      </c>
      <c r="J26" s="59">
        <v>0</v>
      </c>
      <c r="K26" s="59">
        <v>0</v>
      </c>
      <c r="L26" s="59">
        <f>'2 lentelė'!L23</f>
        <v>609390</v>
      </c>
      <c r="M26" s="59">
        <f>'2 lentelė'!Q23</f>
        <v>323703</v>
      </c>
      <c r="N26" s="59">
        <v>0</v>
      </c>
      <c r="O26" s="59">
        <v>0</v>
      </c>
      <c r="P26" s="59">
        <v>0</v>
      </c>
      <c r="Q26" s="59">
        <v>0</v>
      </c>
      <c r="R26" s="59">
        <f>D26+F26+H26+J26+L26+N26+P26</f>
        <v>609390</v>
      </c>
      <c r="S26" s="58">
        <f t="shared" si="4"/>
        <v>323703</v>
      </c>
      <c r="T26" s="128"/>
      <c r="U26" s="128"/>
      <c r="V26" s="128"/>
      <c r="W26" s="135"/>
    </row>
    <row r="27" spans="2:23" ht="51" hidden="1" customHeight="1" x14ac:dyDescent="0.25">
      <c r="B27" s="58" t="s">
        <v>176</v>
      </c>
      <c r="C27" s="59" t="s">
        <v>177</v>
      </c>
      <c r="D27" s="59">
        <v>0</v>
      </c>
      <c r="E27" s="59">
        <v>0</v>
      </c>
      <c r="F27" s="59">
        <v>0</v>
      </c>
      <c r="G27" s="59">
        <v>0</v>
      </c>
      <c r="H27" s="59">
        <v>0</v>
      </c>
      <c r="I27" s="59">
        <v>0</v>
      </c>
      <c r="J27" s="59">
        <f>'2 lentelė'!L24</f>
        <v>518360.92</v>
      </c>
      <c r="K27" s="59">
        <f>'2 lentelė'!Q24</f>
        <v>440606.78</v>
      </c>
      <c r="L27" s="59">
        <v>0</v>
      </c>
      <c r="M27" s="59">
        <v>0</v>
      </c>
      <c r="N27" s="59">
        <v>0</v>
      </c>
      <c r="O27" s="59">
        <v>0</v>
      </c>
      <c r="P27" s="59">
        <v>0</v>
      </c>
      <c r="Q27" s="59">
        <v>0</v>
      </c>
      <c r="R27" s="59">
        <f t="shared" si="5"/>
        <v>518360.92</v>
      </c>
      <c r="S27" s="58">
        <f t="shared" si="4"/>
        <v>440606.78</v>
      </c>
      <c r="T27" s="128"/>
      <c r="U27" s="128"/>
      <c r="V27" s="128"/>
      <c r="W27" s="135"/>
    </row>
    <row r="28" spans="2:23" ht="55.5" customHeight="1" x14ac:dyDescent="0.25">
      <c r="B28" s="89" t="s">
        <v>18</v>
      </c>
      <c r="C28" s="60" t="s">
        <v>178</v>
      </c>
      <c r="D28" s="60">
        <v>0</v>
      </c>
      <c r="E28" s="60">
        <v>0</v>
      </c>
      <c r="F28" s="60">
        <v>0</v>
      </c>
      <c r="G28" s="60">
        <v>0</v>
      </c>
      <c r="H28" s="60">
        <f t="shared" ref="H28:R28" si="6">SUM(H29:H31)</f>
        <v>4063260.86</v>
      </c>
      <c r="I28" s="60">
        <f t="shared" si="6"/>
        <v>3202415.29</v>
      </c>
      <c r="J28" s="60">
        <f t="shared" si="6"/>
        <v>280999.21000000002</v>
      </c>
      <c r="K28" s="60">
        <f t="shared" si="6"/>
        <v>238849.32</v>
      </c>
      <c r="L28" s="60">
        <f t="shared" si="6"/>
        <v>0</v>
      </c>
      <c r="M28" s="60">
        <f t="shared" si="6"/>
        <v>0</v>
      </c>
      <c r="N28" s="60">
        <f t="shared" si="6"/>
        <v>0</v>
      </c>
      <c r="O28" s="60">
        <f t="shared" si="6"/>
        <v>0</v>
      </c>
      <c r="P28" s="60">
        <f t="shared" si="6"/>
        <v>0</v>
      </c>
      <c r="Q28" s="60">
        <f t="shared" si="6"/>
        <v>0</v>
      </c>
      <c r="R28" s="60">
        <f t="shared" si="6"/>
        <v>4344260.07</v>
      </c>
      <c r="S28" s="89">
        <f>SUM(S29:S31)</f>
        <v>3441264.61</v>
      </c>
      <c r="T28" s="150" t="s">
        <v>1065</v>
      </c>
      <c r="U28" s="128"/>
      <c r="V28" s="128"/>
      <c r="W28" s="135"/>
    </row>
    <row r="29" spans="2:23" ht="57.75" hidden="1" customHeight="1" x14ac:dyDescent="0.25">
      <c r="B29" s="85" t="s">
        <v>53</v>
      </c>
      <c r="C29" s="51" t="s">
        <v>179</v>
      </c>
      <c r="D29" s="51">
        <v>0</v>
      </c>
      <c r="E29" s="51">
        <v>0</v>
      </c>
      <c r="F29" s="51">
        <v>0</v>
      </c>
      <c r="G29" s="51">
        <v>0</v>
      </c>
      <c r="H29" s="51">
        <v>0</v>
      </c>
      <c r="I29" s="51">
        <v>0</v>
      </c>
      <c r="J29" s="51">
        <f>'2 lentelė'!L26</f>
        <v>280999.21000000002</v>
      </c>
      <c r="K29" s="51">
        <f>'2 lentelė'!Q26</f>
        <v>238849.32</v>
      </c>
      <c r="L29" s="51">
        <v>0</v>
      </c>
      <c r="M29" s="51">
        <v>0</v>
      </c>
      <c r="N29" s="51">
        <v>0</v>
      </c>
      <c r="O29" s="51">
        <v>0</v>
      </c>
      <c r="P29" s="51">
        <v>0</v>
      </c>
      <c r="Q29" s="51">
        <v>0</v>
      </c>
      <c r="R29" s="51">
        <f t="shared" ref="R29:S31" si="7">D29+F29+H29+J29+L29+N29+P29</f>
        <v>280999.21000000002</v>
      </c>
      <c r="S29" s="85">
        <f t="shared" si="7"/>
        <v>238849.32</v>
      </c>
      <c r="T29" s="150" t="s">
        <v>1048</v>
      </c>
      <c r="U29" s="128">
        <v>239072</v>
      </c>
      <c r="V29" s="128">
        <f>U29-S29</f>
        <v>222.67999999999302</v>
      </c>
      <c r="W29" s="135"/>
    </row>
    <row r="30" spans="2:23" ht="117.75" hidden="1" customHeight="1" x14ac:dyDescent="0.25">
      <c r="B30" s="85" t="s">
        <v>54</v>
      </c>
      <c r="C30" s="51" t="s">
        <v>180</v>
      </c>
      <c r="D30" s="51">
        <v>0</v>
      </c>
      <c r="E30" s="51">
        <v>0</v>
      </c>
      <c r="F30" s="51">
        <v>0</v>
      </c>
      <c r="G30" s="51">
        <v>0</v>
      </c>
      <c r="H30" s="51">
        <f>'2 lentelė'!L27</f>
        <v>2967711.21</v>
      </c>
      <c r="I30" s="51">
        <f>'2 lentelė'!Q27</f>
        <v>2333555.31</v>
      </c>
      <c r="J30" s="51">
        <v>0</v>
      </c>
      <c r="K30" s="51">
        <v>0</v>
      </c>
      <c r="L30" s="51">
        <v>0</v>
      </c>
      <c r="M30" s="51">
        <v>0</v>
      </c>
      <c r="N30" s="51">
        <v>0</v>
      </c>
      <c r="O30" s="51">
        <v>0</v>
      </c>
      <c r="P30" s="51">
        <v>0</v>
      </c>
      <c r="Q30" s="51">
        <v>0</v>
      </c>
      <c r="R30" s="51">
        <f t="shared" si="7"/>
        <v>2967711.21</v>
      </c>
      <c r="S30" s="85">
        <f t="shared" si="7"/>
        <v>2333555.31</v>
      </c>
      <c r="T30" s="128"/>
      <c r="U30" s="128"/>
      <c r="V30" s="128"/>
      <c r="W30" s="135"/>
    </row>
    <row r="31" spans="2:23" ht="41.25" hidden="1" customHeight="1" x14ac:dyDescent="0.25">
      <c r="B31" s="85" t="s">
        <v>181</v>
      </c>
      <c r="C31" s="51" t="s">
        <v>182</v>
      </c>
      <c r="D31" s="51">
        <v>0</v>
      </c>
      <c r="E31" s="51">
        <v>0</v>
      </c>
      <c r="F31" s="51">
        <v>0</v>
      </c>
      <c r="G31" s="51">
        <v>0</v>
      </c>
      <c r="H31" s="51">
        <f>'2 lentelė'!L28</f>
        <v>1095549.6499999999</v>
      </c>
      <c r="I31" s="51">
        <f>'2 lentelė'!Q28</f>
        <v>868859.98</v>
      </c>
      <c r="J31" s="51">
        <v>0</v>
      </c>
      <c r="K31" s="51">
        <v>0</v>
      </c>
      <c r="L31" s="51">
        <v>0</v>
      </c>
      <c r="M31" s="51">
        <v>0</v>
      </c>
      <c r="N31" s="51">
        <v>0</v>
      </c>
      <c r="O31" s="51">
        <v>0</v>
      </c>
      <c r="P31" s="51">
        <v>0</v>
      </c>
      <c r="Q31" s="51">
        <v>0</v>
      </c>
      <c r="R31" s="51">
        <f t="shared" si="7"/>
        <v>1095549.6499999999</v>
      </c>
      <c r="S31" s="85">
        <f t="shared" si="7"/>
        <v>868859.98</v>
      </c>
      <c r="T31" s="128"/>
      <c r="U31" s="128"/>
      <c r="V31" s="128"/>
      <c r="W31" s="135"/>
    </row>
    <row r="32" spans="2:23" ht="114.75" x14ac:dyDescent="0.25">
      <c r="B32" s="107" t="s">
        <v>19</v>
      </c>
      <c r="C32" s="29" t="s">
        <v>183</v>
      </c>
      <c r="D32" s="29">
        <v>0</v>
      </c>
      <c r="E32" s="29">
        <v>0</v>
      </c>
      <c r="F32" s="29">
        <v>0</v>
      </c>
      <c r="G32" s="29">
        <f>G33</f>
        <v>0</v>
      </c>
      <c r="H32" s="29">
        <f t="shared" ref="H32:S32" si="8">H33</f>
        <v>0</v>
      </c>
      <c r="I32" s="29">
        <f t="shared" si="8"/>
        <v>0</v>
      </c>
      <c r="J32" s="29">
        <f t="shared" si="8"/>
        <v>895999.62</v>
      </c>
      <c r="K32" s="29">
        <f t="shared" si="8"/>
        <v>761599.68</v>
      </c>
      <c r="L32" s="29">
        <f t="shared" si="8"/>
        <v>0</v>
      </c>
      <c r="M32" s="29">
        <f t="shared" si="8"/>
        <v>0</v>
      </c>
      <c r="N32" s="29">
        <f t="shared" si="8"/>
        <v>0</v>
      </c>
      <c r="O32" s="29">
        <f t="shared" si="8"/>
        <v>0</v>
      </c>
      <c r="P32" s="29">
        <f t="shared" si="8"/>
        <v>0</v>
      </c>
      <c r="Q32" s="29">
        <f t="shared" si="8"/>
        <v>0</v>
      </c>
      <c r="R32" s="29">
        <f t="shared" si="8"/>
        <v>895999.62</v>
      </c>
      <c r="S32" s="29">
        <f t="shared" si="8"/>
        <v>761599.68</v>
      </c>
      <c r="T32" s="128"/>
      <c r="U32" s="128"/>
      <c r="V32" s="128"/>
      <c r="W32" s="135"/>
    </row>
    <row r="33" spans="2:23" ht="48" customHeight="1" x14ac:dyDescent="0.25">
      <c r="B33" s="60" t="s">
        <v>20</v>
      </c>
      <c r="C33" s="60" t="s">
        <v>184</v>
      </c>
      <c r="D33" s="60">
        <v>0</v>
      </c>
      <c r="E33" s="60">
        <v>0</v>
      </c>
      <c r="F33" s="60">
        <v>0</v>
      </c>
      <c r="G33" s="60">
        <f>G34</f>
        <v>0</v>
      </c>
      <c r="H33" s="60">
        <f t="shared" ref="H33:S33" si="9">H34</f>
        <v>0</v>
      </c>
      <c r="I33" s="60">
        <f t="shared" si="9"/>
        <v>0</v>
      </c>
      <c r="J33" s="60">
        <f t="shared" si="9"/>
        <v>895999.62</v>
      </c>
      <c r="K33" s="60">
        <f t="shared" si="9"/>
        <v>761599.68</v>
      </c>
      <c r="L33" s="60">
        <f t="shared" si="9"/>
        <v>0</v>
      </c>
      <c r="M33" s="60">
        <f t="shared" si="9"/>
        <v>0</v>
      </c>
      <c r="N33" s="60">
        <f t="shared" si="9"/>
        <v>0</v>
      </c>
      <c r="O33" s="60">
        <f t="shared" si="9"/>
        <v>0</v>
      </c>
      <c r="P33" s="60">
        <f t="shared" si="9"/>
        <v>0</v>
      </c>
      <c r="Q33" s="60">
        <f t="shared" si="9"/>
        <v>0</v>
      </c>
      <c r="R33" s="60">
        <f t="shared" si="9"/>
        <v>895999.62</v>
      </c>
      <c r="S33" s="60">
        <f t="shared" si="9"/>
        <v>761599.68</v>
      </c>
      <c r="T33" s="150" t="s">
        <v>1050</v>
      </c>
      <c r="U33" s="128">
        <v>769016</v>
      </c>
      <c r="V33" s="128">
        <f>U33-S33</f>
        <v>7416.3199999999488</v>
      </c>
      <c r="W33" s="135"/>
    </row>
    <row r="34" spans="2:23" ht="144.75" hidden="1" customHeight="1" x14ac:dyDescent="0.25">
      <c r="B34" s="85" t="s">
        <v>185</v>
      </c>
      <c r="C34" s="51" t="s">
        <v>1081</v>
      </c>
      <c r="D34" s="47">
        <v>0</v>
      </c>
      <c r="E34" s="47">
        <v>0</v>
      </c>
      <c r="F34" s="47">
        <v>0</v>
      </c>
      <c r="G34" s="47">
        <v>0</v>
      </c>
      <c r="H34" s="47">
        <v>0</v>
      </c>
      <c r="I34" s="47">
        <v>0</v>
      </c>
      <c r="J34" s="47">
        <f>'2 lentelė'!L31</f>
        <v>895999.62</v>
      </c>
      <c r="K34" s="47">
        <f>'2 lentelė'!Q31</f>
        <v>761599.68</v>
      </c>
      <c r="L34" s="47">
        <v>0</v>
      </c>
      <c r="M34" s="47">
        <v>0</v>
      </c>
      <c r="N34" s="47">
        <v>0</v>
      </c>
      <c r="O34" s="47">
        <v>0</v>
      </c>
      <c r="P34" s="47">
        <v>0</v>
      </c>
      <c r="Q34" s="47">
        <v>0</v>
      </c>
      <c r="R34" s="47">
        <f>D34+F34+H34+J34+L34+N34+P34</f>
        <v>895999.62</v>
      </c>
      <c r="S34" s="47">
        <f>E34+G34+I34+K34+M34+O34+Q34</f>
        <v>761599.68</v>
      </c>
      <c r="T34" s="128"/>
      <c r="U34" s="128"/>
      <c r="V34" s="128"/>
      <c r="W34" s="135"/>
    </row>
    <row r="35" spans="2:23" ht="131.25" customHeight="1" x14ac:dyDescent="0.25">
      <c r="B35" s="107" t="s">
        <v>186</v>
      </c>
      <c r="C35" s="29" t="s">
        <v>187</v>
      </c>
      <c r="D35" s="29">
        <v>0</v>
      </c>
      <c r="E35" s="29">
        <v>0</v>
      </c>
      <c r="F35" s="29">
        <v>0</v>
      </c>
      <c r="G35" s="29">
        <v>0</v>
      </c>
      <c r="H35" s="29">
        <v>0</v>
      </c>
      <c r="I35" s="29">
        <v>0</v>
      </c>
      <c r="J35" s="29">
        <v>0</v>
      </c>
      <c r="K35" s="107">
        <v>0</v>
      </c>
      <c r="L35" s="107">
        <v>0</v>
      </c>
      <c r="M35" s="29">
        <v>0</v>
      </c>
      <c r="N35" s="29">
        <v>0</v>
      </c>
      <c r="O35" s="29">
        <v>0</v>
      </c>
      <c r="P35" s="29">
        <v>0</v>
      </c>
      <c r="Q35" s="29">
        <v>0</v>
      </c>
      <c r="R35" s="29">
        <v>0</v>
      </c>
      <c r="S35" s="29">
        <v>0</v>
      </c>
      <c r="T35" s="128"/>
      <c r="U35" s="128"/>
      <c r="V35" s="128"/>
      <c r="W35" s="135"/>
    </row>
    <row r="36" spans="2:23" ht="71.25" customHeight="1" x14ac:dyDescent="0.25">
      <c r="B36" s="60" t="s">
        <v>188</v>
      </c>
      <c r="C36" s="60" t="s">
        <v>189</v>
      </c>
      <c r="D36" s="60">
        <v>0</v>
      </c>
      <c r="E36" s="60">
        <v>0</v>
      </c>
      <c r="F36" s="60">
        <v>0</v>
      </c>
      <c r="G36" s="60">
        <v>0</v>
      </c>
      <c r="H36" s="60">
        <v>0</v>
      </c>
      <c r="I36" s="60">
        <v>0</v>
      </c>
      <c r="J36" s="60">
        <v>0</v>
      </c>
      <c r="K36" s="60">
        <v>0</v>
      </c>
      <c r="L36" s="60">
        <v>0</v>
      </c>
      <c r="M36" s="60">
        <v>0</v>
      </c>
      <c r="N36" s="60">
        <v>0</v>
      </c>
      <c r="O36" s="60">
        <v>0</v>
      </c>
      <c r="P36" s="60">
        <v>0</v>
      </c>
      <c r="Q36" s="60">
        <v>0</v>
      </c>
      <c r="R36" s="60">
        <v>0</v>
      </c>
      <c r="S36" s="60">
        <v>0</v>
      </c>
      <c r="T36" s="128"/>
      <c r="U36" s="128"/>
      <c r="V36" s="128"/>
      <c r="W36" s="135"/>
    </row>
    <row r="37" spans="2:23" ht="74.25" customHeight="1" x14ac:dyDescent="0.25">
      <c r="B37" s="60" t="s">
        <v>190</v>
      </c>
      <c r="C37" s="60" t="s">
        <v>191</v>
      </c>
      <c r="D37" s="60">
        <v>0</v>
      </c>
      <c r="E37" s="60">
        <v>0</v>
      </c>
      <c r="F37" s="60">
        <v>0</v>
      </c>
      <c r="G37" s="60">
        <v>0</v>
      </c>
      <c r="H37" s="60">
        <v>0</v>
      </c>
      <c r="I37" s="60">
        <v>0</v>
      </c>
      <c r="J37" s="60">
        <v>0</v>
      </c>
      <c r="K37" s="60">
        <v>0</v>
      </c>
      <c r="L37" s="60">
        <v>0</v>
      </c>
      <c r="M37" s="60">
        <v>0</v>
      </c>
      <c r="N37" s="60">
        <v>0</v>
      </c>
      <c r="O37" s="60">
        <v>0</v>
      </c>
      <c r="P37" s="60">
        <v>0</v>
      </c>
      <c r="Q37" s="60">
        <v>0</v>
      </c>
      <c r="R37" s="60">
        <v>0</v>
      </c>
      <c r="S37" s="60">
        <v>0</v>
      </c>
      <c r="T37" s="128"/>
      <c r="U37" s="128"/>
      <c r="V37" s="128"/>
      <c r="W37" s="135"/>
    </row>
    <row r="38" spans="2:23" ht="76.5" customHeight="1" x14ac:dyDescent="0.25">
      <c r="B38" s="124" t="s">
        <v>21</v>
      </c>
      <c r="C38" s="111" t="s">
        <v>192</v>
      </c>
      <c r="D38" s="125">
        <v>0</v>
      </c>
      <c r="E38" s="124">
        <v>0</v>
      </c>
      <c r="F38" s="124">
        <v>0</v>
      </c>
      <c r="G38" s="111">
        <f>G39+G54</f>
        <v>0</v>
      </c>
      <c r="H38" s="111">
        <f t="shared" ref="H38:S38" si="10">H39+H54</f>
        <v>0</v>
      </c>
      <c r="I38" s="111">
        <f t="shared" si="10"/>
        <v>0</v>
      </c>
      <c r="J38" s="111">
        <f t="shared" si="10"/>
        <v>1244602.7799999998</v>
      </c>
      <c r="K38" s="111">
        <f t="shared" si="10"/>
        <v>1057912.3600000001</v>
      </c>
      <c r="L38" s="111">
        <f t="shared" si="10"/>
        <v>1840732.3800000001</v>
      </c>
      <c r="M38" s="111">
        <f t="shared" si="10"/>
        <v>1327798.1600000001</v>
      </c>
      <c r="N38" s="111">
        <f t="shared" si="10"/>
        <v>4154774.7700000005</v>
      </c>
      <c r="O38" s="111">
        <f t="shared" si="10"/>
        <v>3488966.37</v>
      </c>
      <c r="P38" s="111">
        <f t="shared" si="10"/>
        <v>1253620.5100000002</v>
      </c>
      <c r="Q38" s="111">
        <f t="shared" si="10"/>
        <v>584732.04</v>
      </c>
      <c r="R38" s="111">
        <f t="shared" si="10"/>
        <v>8493730.4399999995</v>
      </c>
      <c r="S38" s="111">
        <f t="shared" si="10"/>
        <v>6459408.9299999997</v>
      </c>
      <c r="T38" s="128"/>
      <c r="U38" s="128"/>
      <c r="V38" s="128"/>
      <c r="W38" s="135"/>
    </row>
    <row r="39" spans="2:23" ht="69" customHeight="1" x14ac:dyDescent="0.25">
      <c r="B39" s="107" t="s">
        <v>22</v>
      </c>
      <c r="C39" s="29" t="s">
        <v>193</v>
      </c>
      <c r="D39" s="112">
        <v>0</v>
      </c>
      <c r="E39" s="112">
        <v>0</v>
      </c>
      <c r="F39" s="107">
        <v>0</v>
      </c>
      <c r="G39" s="107">
        <v>0</v>
      </c>
      <c r="H39" s="112">
        <f>SUM(H40)</f>
        <v>0</v>
      </c>
      <c r="I39" s="112">
        <f t="shared" ref="I39:S39" si="11">SUM(I40)</f>
        <v>0</v>
      </c>
      <c r="J39" s="107">
        <f t="shared" si="11"/>
        <v>1244602.7799999998</v>
      </c>
      <c r="K39" s="107">
        <f t="shared" si="11"/>
        <v>1057912.3600000001</v>
      </c>
      <c r="L39" s="112">
        <f t="shared" si="11"/>
        <v>1283950.1400000001</v>
      </c>
      <c r="M39" s="112">
        <f t="shared" si="11"/>
        <v>1019746.16</v>
      </c>
      <c r="N39" s="107">
        <f t="shared" si="11"/>
        <v>1435671.7</v>
      </c>
      <c r="O39" s="107">
        <f t="shared" si="11"/>
        <v>1177728.3699999999</v>
      </c>
      <c r="P39" s="112">
        <f t="shared" si="11"/>
        <v>1253620.5100000002</v>
      </c>
      <c r="Q39" s="112">
        <f t="shared" si="11"/>
        <v>584732.04</v>
      </c>
      <c r="R39" s="107">
        <f t="shared" si="11"/>
        <v>5217845.13</v>
      </c>
      <c r="S39" s="107">
        <f t="shared" si="11"/>
        <v>3840118.93</v>
      </c>
      <c r="T39" s="128"/>
      <c r="U39" s="128"/>
      <c r="V39" s="128"/>
      <c r="W39" s="135"/>
    </row>
    <row r="40" spans="2:23" ht="30" customHeight="1" x14ac:dyDescent="0.25">
      <c r="B40" s="60" t="s">
        <v>194</v>
      </c>
      <c r="C40" s="60" t="s">
        <v>195</v>
      </c>
      <c r="D40" s="60">
        <v>0</v>
      </c>
      <c r="E40" s="60">
        <v>0</v>
      </c>
      <c r="F40" s="60">
        <v>0</v>
      </c>
      <c r="G40" s="60">
        <v>0</v>
      </c>
      <c r="H40" s="60">
        <f t="shared" ref="H40:I40" si="12">SUM(H41:H48)</f>
        <v>0</v>
      </c>
      <c r="I40" s="60">
        <f t="shared" si="12"/>
        <v>0</v>
      </c>
      <c r="J40" s="60">
        <f>SUM(J41:J53)</f>
        <v>1244602.7799999998</v>
      </c>
      <c r="K40" s="60">
        <f t="shared" ref="K40:S40" si="13">SUM(K41:K53)</f>
        <v>1057912.3600000001</v>
      </c>
      <c r="L40" s="60">
        <f t="shared" si="13"/>
        <v>1283950.1400000001</v>
      </c>
      <c r="M40" s="60">
        <f t="shared" si="13"/>
        <v>1019746.16</v>
      </c>
      <c r="N40" s="60">
        <f t="shared" si="13"/>
        <v>1435671.7</v>
      </c>
      <c r="O40" s="60">
        <f t="shared" si="13"/>
        <v>1177728.3699999999</v>
      </c>
      <c r="P40" s="60">
        <f t="shared" si="13"/>
        <v>1253620.5100000002</v>
      </c>
      <c r="Q40" s="60">
        <f t="shared" si="13"/>
        <v>584732.04</v>
      </c>
      <c r="R40" s="60">
        <f t="shared" si="13"/>
        <v>5217845.13</v>
      </c>
      <c r="S40" s="60">
        <f t="shared" si="13"/>
        <v>3840118.93</v>
      </c>
      <c r="T40" s="150" t="s">
        <v>1051</v>
      </c>
      <c r="U40" s="128">
        <v>3840129</v>
      </c>
      <c r="V40" s="128">
        <f>U40-S40</f>
        <v>10.069999999832362</v>
      </c>
      <c r="W40" s="135"/>
    </row>
    <row r="41" spans="2:23" ht="57" hidden="1" customHeight="1" x14ac:dyDescent="0.25">
      <c r="B41" s="85" t="s">
        <v>196</v>
      </c>
      <c r="C41" s="51" t="s">
        <v>197</v>
      </c>
      <c r="D41" s="51">
        <v>0</v>
      </c>
      <c r="E41" s="51">
        <v>0</v>
      </c>
      <c r="F41" s="51">
        <v>0</v>
      </c>
      <c r="G41" s="51">
        <v>0</v>
      </c>
      <c r="H41" s="51">
        <v>0</v>
      </c>
      <c r="I41" s="51">
        <v>0</v>
      </c>
      <c r="J41" s="51">
        <v>0</v>
      </c>
      <c r="K41" s="51">
        <v>0</v>
      </c>
      <c r="L41" s="51">
        <v>0</v>
      </c>
      <c r="M41" s="51">
        <v>0</v>
      </c>
      <c r="N41" s="51">
        <f>'2 lentelė'!L38</f>
        <v>343231.9</v>
      </c>
      <c r="O41" s="51">
        <f>'2 lentelė'!Q38</f>
        <v>291747.11</v>
      </c>
      <c r="P41" s="51">
        <v>0</v>
      </c>
      <c r="Q41" s="51">
        <v>0</v>
      </c>
      <c r="R41" s="51">
        <f>D41+F41+H41+J41+L41+N41+P41</f>
        <v>343231.9</v>
      </c>
      <c r="S41" s="51">
        <f>E41+G41+I41+K41+M41+O41+Q41</f>
        <v>291747.11</v>
      </c>
      <c r="T41" s="128"/>
      <c r="U41" s="128"/>
      <c r="V41" s="128"/>
      <c r="W41" s="135"/>
    </row>
    <row r="42" spans="2:23" ht="41.25" hidden="1" customHeight="1" x14ac:dyDescent="0.25">
      <c r="B42" s="85" t="s">
        <v>198</v>
      </c>
      <c r="C42" s="51" t="s">
        <v>199</v>
      </c>
      <c r="D42" s="51">
        <v>0</v>
      </c>
      <c r="E42" s="51">
        <v>0</v>
      </c>
      <c r="F42" s="51">
        <v>0</v>
      </c>
      <c r="G42" s="51">
        <v>0</v>
      </c>
      <c r="H42" s="51">
        <v>0</v>
      </c>
      <c r="I42" s="51">
        <v>0</v>
      </c>
      <c r="J42" s="51">
        <v>0</v>
      </c>
      <c r="K42" s="51">
        <v>0</v>
      </c>
      <c r="L42" s="51">
        <v>0</v>
      </c>
      <c r="M42" s="51">
        <v>0</v>
      </c>
      <c r="N42" s="51">
        <f>'2 lentelė'!L39</f>
        <v>200108.91</v>
      </c>
      <c r="O42" s="51">
        <f>'2 lentelė'!Q39</f>
        <v>127500</v>
      </c>
      <c r="P42" s="51">
        <v>0</v>
      </c>
      <c r="Q42" s="51">
        <v>0</v>
      </c>
      <c r="R42" s="51">
        <f t="shared" ref="R42:S48" si="14">D42+F42+H42+J42+L42+N42+P42</f>
        <v>200108.91</v>
      </c>
      <c r="S42" s="51">
        <f t="shared" si="14"/>
        <v>127500</v>
      </c>
      <c r="T42" s="128"/>
      <c r="U42" s="128"/>
      <c r="V42" s="128"/>
      <c r="W42" s="135"/>
    </row>
    <row r="43" spans="2:23" ht="116.25" hidden="1" customHeight="1" x14ac:dyDescent="0.25">
      <c r="B43" s="85" t="s">
        <v>200</v>
      </c>
      <c r="C43" s="51" t="s">
        <v>201</v>
      </c>
      <c r="D43" s="51">
        <v>0</v>
      </c>
      <c r="E43" s="51">
        <v>0</v>
      </c>
      <c r="F43" s="51">
        <v>0</v>
      </c>
      <c r="G43" s="51">
        <v>0</v>
      </c>
      <c r="H43" s="51">
        <v>0</v>
      </c>
      <c r="I43" s="51">
        <v>0</v>
      </c>
      <c r="J43" s="51">
        <f>'2 lentelė'!L40</f>
        <v>615073.18999999994</v>
      </c>
      <c r="K43" s="51">
        <f>'2 lentelė'!Q40</f>
        <v>522812.21</v>
      </c>
      <c r="L43" s="51">
        <v>0</v>
      </c>
      <c r="M43" s="51">
        <v>0</v>
      </c>
      <c r="N43" s="51">
        <v>0</v>
      </c>
      <c r="O43" s="51">
        <v>0</v>
      </c>
      <c r="P43" s="51">
        <v>0</v>
      </c>
      <c r="Q43" s="51">
        <v>0</v>
      </c>
      <c r="R43" s="51">
        <f t="shared" si="14"/>
        <v>615073.18999999994</v>
      </c>
      <c r="S43" s="51">
        <f t="shared" si="14"/>
        <v>522812.21</v>
      </c>
      <c r="T43" s="128"/>
      <c r="U43" s="128"/>
      <c r="V43" s="128"/>
      <c r="W43" s="135"/>
    </row>
    <row r="44" spans="2:23" ht="69" hidden="1" customHeight="1" x14ac:dyDescent="0.25">
      <c r="B44" s="85" t="s">
        <v>202</v>
      </c>
      <c r="C44" s="51" t="s">
        <v>203</v>
      </c>
      <c r="D44" s="51">
        <v>0</v>
      </c>
      <c r="E44" s="51">
        <v>0</v>
      </c>
      <c r="F44" s="51">
        <v>0</v>
      </c>
      <c r="G44" s="51">
        <v>0</v>
      </c>
      <c r="H44" s="51">
        <v>0</v>
      </c>
      <c r="I44" s="51">
        <v>0</v>
      </c>
      <c r="J44" s="51">
        <f>'2 lentelė'!L41</f>
        <v>629529.59</v>
      </c>
      <c r="K44" s="51">
        <f>'2 lentelė'!Q41</f>
        <v>535100.15</v>
      </c>
      <c r="L44" s="51">
        <v>0</v>
      </c>
      <c r="M44" s="51">
        <v>0</v>
      </c>
      <c r="N44" s="51">
        <v>0</v>
      </c>
      <c r="O44" s="51">
        <v>0</v>
      </c>
      <c r="P44" s="51">
        <v>0</v>
      </c>
      <c r="Q44" s="51">
        <v>0</v>
      </c>
      <c r="R44" s="51">
        <f t="shared" si="14"/>
        <v>629529.59</v>
      </c>
      <c r="S44" s="51">
        <f t="shared" si="14"/>
        <v>535100.15</v>
      </c>
      <c r="T44" s="128"/>
      <c r="U44" s="128"/>
      <c r="V44" s="128"/>
      <c r="W44" s="135"/>
    </row>
    <row r="45" spans="2:23" ht="45.75" hidden="1" customHeight="1" x14ac:dyDescent="0.25">
      <c r="B45" s="85" t="s">
        <v>204</v>
      </c>
      <c r="C45" s="51" t="s">
        <v>205</v>
      </c>
      <c r="D45" s="51">
        <v>0</v>
      </c>
      <c r="E45" s="51">
        <v>0</v>
      </c>
      <c r="F45" s="51">
        <v>0</v>
      </c>
      <c r="G45" s="51">
        <v>0</v>
      </c>
      <c r="H45" s="51">
        <v>0</v>
      </c>
      <c r="I45" s="51">
        <v>0</v>
      </c>
      <c r="J45" s="51">
        <v>0</v>
      </c>
      <c r="K45" s="51">
        <v>0</v>
      </c>
      <c r="L45" s="51">
        <f>'2 lentelė'!L42</f>
        <v>428573.83</v>
      </c>
      <c r="M45" s="51">
        <f>'2 lentelė'!Q42</f>
        <v>361746.23</v>
      </c>
      <c r="N45" s="51">
        <v>0</v>
      </c>
      <c r="O45" s="51">
        <v>0</v>
      </c>
      <c r="P45" s="51">
        <v>0</v>
      </c>
      <c r="Q45" s="51">
        <v>0</v>
      </c>
      <c r="R45" s="51">
        <f t="shared" si="14"/>
        <v>428573.83</v>
      </c>
      <c r="S45" s="51">
        <f t="shared" si="14"/>
        <v>361746.23</v>
      </c>
      <c r="T45" s="128"/>
      <c r="U45" s="128"/>
      <c r="V45" s="128"/>
      <c r="W45" s="135"/>
    </row>
    <row r="46" spans="2:23" ht="78" hidden="1" customHeight="1" x14ac:dyDescent="0.25">
      <c r="B46" s="85" t="s">
        <v>206</v>
      </c>
      <c r="C46" s="51" t="s">
        <v>207</v>
      </c>
      <c r="D46" s="51">
        <v>0</v>
      </c>
      <c r="E46" s="51">
        <v>0</v>
      </c>
      <c r="F46" s="51">
        <v>0</v>
      </c>
      <c r="G46" s="51">
        <v>0</v>
      </c>
      <c r="H46" s="51">
        <v>0</v>
      </c>
      <c r="I46" s="51">
        <v>0</v>
      </c>
      <c r="J46" s="51">
        <v>0</v>
      </c>
      <c r="K46" s="51">
        <v>0</v>
      </c>
      <c r="L46" s="51">
        <v>0</v>
      </c>
      <c r="M46" s="51">
        <v>0</v>
      </c>
      <c r="N46" s="51">
        <f>'2 lentelė'!L43</f>
        <v>381140.11</v>
      </c>
      <c r="O46" s="51">
        <f>'2 lentelė'!Q43</f>
        <v>323969.08999999997</v>
      </c>
      <c r="P46" s="51">
        <v>0</v>
      </c>
      <c r="Q46" s="51">
        <v>0</v>
      </c>
      <c r="R46" s="51">
        <f>D46+F46+H46+J46+L46+N46+P46</f>
        <v>381140.11</v>
      </c>
      <c r="S46" s="51">
        <f>E46+G46+I46+K46+M46+O46+Q46</f>
        <v>323969.08999999997</v>
      </c>
      <c r="T46" s="128"/>
      <c r="U46" s="128"/>
      <c r="V46" s="128"/>
      <c r="W46" s="135"/>
    </row>
    <row r="47" spans="2:23" ht="49.5" hidden="1" customHeight="1" x14ac:dyDescent="0.25">
      <c r="B47" s="85" t="s">
        <v>208</v>
      </c>
      <c r="C47" s="51" t="s">
        <v>209</v>
      </c>
      <c r="D47" s="51">
        <v>0</v>
      </c>
      <c r="E47" s="51">
        <v>0</v>
      </c>
      <c r="F47" s="51">
        <v>0</v>
      </c>
      <c r="G47" s="51">
        <v>0</v>
      </c>
      <c r="H47" s="51">
        <v>0</v>
      </c>
      <c r="I47" s="51">
        <v>0</v>
      </c>
      <c r="J47" s="51">
        <v>0</v>
      </c>
      <c r="K47" s="51">
        <v>0</v>
      </c>
      <c r="L47" s="62">
        <f>'2 lentelė'!L44</f>
        <v>855376.31</v>
      </c>
      <c r="M47" s="51">
        <f>'2 lentelė'!Q44</f>
        <v>657999.93000000005</v>
      </c>
      <c r="N47" s="51">
        <v>0</v>
      </c>
      <c r="O47" s="51">
        <v>0</v>
      </c>
      <c r="P47" s="51">
        <v>0</v>
      </c>
      <c r="Q47" s="51">
        <v>0</v>
      </c>
      <c r="R47" s="51">
        <f>D47+F47+H47+J47+L47+N47+P47</f>
        <v>855376.31</v>
      </c>
      <c r="S47" s="51">
        <f>E47+G47+I47+K47+M47+O47+Q47</f>
        <v>657999.93000000005</v>
      </c>
      <c r="T47" s="128"/>
      <c r="U47" s="128"/>
      <c r="V47" s="128"/>
      <c r="W47" s="135"/>
    </row>
    <row r="48" spans="2:23" ht="90" hidden="1" customHeight="1" x14ac:dyDescent="0.25">
      <c r="B48" s="85" t="s">
        <v>210</v>
      </c>
      <c r="C48" s="51" t="s">
        <v>211</v>
      </c>
      <c r="D48" s="51">
        <v>0</v>
      </c>
      <c r="E48" s="51">
        <v>0</v>
      </c>
      <c r="F48" s="51">
        <v>0</v>
      </c>
      <c r="G48" s="51">
        <v>0</v>
      </c>
      <c r="H48" s="51">
        <v>0</v>
      </c>
      <c r="I48" s="51">
        <v>0</v>
      </c>
      <c r="J48" s="51">
        <v>0</v>
      </c>
      <c r="K48" s="51">
        <v>0</v>
      </c>
      <c r="L48" s="51">
        <v>0</v>
      </c>
      <c r="M48" s="51">
        <v>0</v>
      </c>
      <c r="N48" s="62">
        <f>'2 lentelė'!L45</f>
        <v>102422.63</v>
      </c>
      <c r="O48" s="51">
        <f>'2 lentelė'!Q45</f>
        <v>87059.24</v>
      </c>
      <c r="P48" s="51">
        <v>0</v>
      </c>
      <c r="Q48" s="51">
        <v>0</v>
      </c>
      <c r="R48" s="51">
        <f t="shared" si="14"/>
        <v>102422.63</v>
      </c>
      <c r="S48" s="51">
        <f t="shared" si="14"/>
        <v>87059.24</v>
      </c>
      <c r="T48" s="128"/>
      <c r="U48" s="128"/>
      <c r="V48" s="128"/>
      <c r="W48" s="135"/>
    </row>
    <row r="49" spans="2:23" ht="72.75" hidden="1" customHeight="1" x14ac:dyDescent="0.25">
      <c r="B49" s="51" t="s">
        <v>1028</v>
      </c>
      <c r="C49" s="59" t="s">
        <v>1035</v>
      </c>
      <c r="D49" s="51">
        <v>0</v>
      </c>
      <c r="E49" s="51">
        <v>0</v>
      </c>
      <c r="F49" s="51">
        <v>0</v>
      </c>
      <c r="G49" s="51">
        <v>0</v>
      </c>
      <c r="H49" s="51">
        <v>0</v>
      </c>
      <c r="I49" s="51">
        <v>0</v>
      </c>
      <c r="J49" s="51">
        <v>0</v>
      </c>
      <c r="K49" s="51">
        <v>0</v>
      </c>
      <c r="L49" s="51">
        <v>0</v>
      </c>
      <c r="M49" s="51">
        <v>0</v>
      </c>
      <c r="N49" s="51">
        <v>0</v>
      </c>
      <c r="O49" s="51">
        <v>0</v>
      </c>
      <c r="P49" s="51">
        <f>'2 lentelė'!L46</f>
        <v>916743.93</v>
      </c>
      <c r="Q49" s="51">
        <f>'2 lentelė'!Q46</f>
        <v>325512.49</v>
      </c>
      <c r="R49" s="51">
        <f t="shared" ref="R49" si="15">D49+F49+H49+J49+L49+N49+P49</f>
        <v>916743.93</v>
      </c>
      <c r="S49" s="51">
        <f t="shared" ref="S49" si="16">E49+G49+I49+K49+M49+O49+Q49</f>
        <v>325512.49</v>
      </c>
      <c r="T49" s="128"/>
      <c r="U49" s="128"/>
      <c r="V49" s="128"/>
      <c r="W49" s="135"/>
    </row>
    <row r="50" spans="2:23" ht="68.25" hidden="1" customHeight="1" x14ac:dyDescent="0.25">
      <c r="B50" s="51" t="s">
        <v>1029</v>
      </c>
      <c r="C50" s="42" t="s">
        <v>1033</v>
      </c>
      <c r="D50" s="51">
        <v>0</v>
      </c>
      <c r="E50" s="51">
        <v>0</v>
      </c>
      <c r="F50" s="51">
        <v>0</v>
      </c>
      <c r="G50" s="51">
        <v>0</v>
      </c>
      <c r="H50" s="51">
        <v>0</v>
      </c>
      <c r="I50" s="51">
        <v>0</v>
      </c>
      <c r="J50" s="51">
        <v>0</v>
      </c>
      <c r="K50" s="51">
        <v>0</v>
      </c>
      <c r="L50" s="51">
        <v>0</v>
      </c>
      <c r="M50" s="51">
        <v>0</v>
      </c>
      <c r="N50" s="51">
        <f>'2 lentelė'!L47</f>
        <v>179266</v>
      </c>
      <c r="O50" s="51">
        <f>'2 lentelė'!Q47</f>
        <v>152376.1</v>
      </c>
      <c r="P50" s="51">
        <v>0</v>
      </c>
      <c r="Q50" s="51">
        <v>0</v>
      </c>
      <c r="R50" s="51">
        <f t="shared" ref="R50" si="17">D50+F50+H50+J50+L50+N50+P50</f>
        <v>179266</v>
      </c>
      <c r="S50" s="51">
        <f t="shared" ref="S50" si="18">E50+G50+I50+K50+M50+O50+Q50</f>
        <v>152376.1</v>
      </c>
      <c r="T50" s="128"/>
      <c r="U50" s="128"/>
      <c r="V50" s="128"/>
      <c r="W50" s="135"/>
    </row>
    <row r="51" spans="2:23" ht="68.25" hidden="1" customHeight="1" x14ac:dyDescent="0.25">
      <c r="B51" s="51" t="s">
        <v>1030</v>
      </c>
      <c r="C51" s="42" t="s">
        <v>1034</v>
      </c>
      <c r="D51" s="51">
        <v>0</v>
      </c>
      <c r="E51" s="51">
        <v>0</v>
      </c>
      <c r="F51" s="51">
        <v>0</v>
      </c>
      <c r="G51" s="51">
        <v>0</v>
      </c>
      <c r="H51" s="51">
        <v>0</v>
      </c>
      <c r="I51" s="51">
        <v>0</v>
      </c>
      <c r="J51" s="51">
        <v>0</v>
      </c>
      <c r="K51" s="51">
        <v>0</v>
      </c>
      <c r="L51" s="51">
        <v>0</v>
      </c>
      <c r="M51" s="51">
        <v>0</v>
      </c>
      <c r="N51" s="51">
        <f>'2 lentelė'!L48</f>
        <v>229502.15</v>
      </c>
      <c r="O51" s="51">
        <f>'2 lentelė'!Q48</f>
        <v>195076.83</v>
      </c>
      <c r="P51" s="51">
        <v>0</v>
      </c>
      <c r="Q51" s="51">
        <v>0</v>
      </c>
      <c r="R51" s="51">
        <f t="shared" ref="R51" si="19">D51+F51+H51+J51+L51+N51+P51</f>
        <v>229502.15</v>
      </c>
      <c r="S51" s="51">
        <f t="shared" ref="S51" si="20">E51+G51+I51+K51+M51+O51+Q51</f>
        <v>195076.83</v>
      </c>
      <c r="T51" s="128"/>
      <c r="U51" s="128"/>
      <c r="V51" s="128"/>
      <c r="W51" s="135"/>
    </row>
    <row r="52" spans="2:23" ht="68.25" hidden="1" customHeight="1" x14ac:dyDescent="0.25">
      <c r="B52" s="51" t="s">
        <v>1031</v>
      </c>
      <c r="C52" s="42" t="s">
        <v>1038</v>
      </c>
      <c r="D52" s="51">
        <v>0</v>
      </c>
      <c r="E52" s="51">
        <v>0</v>
      </c>
      <c r="F52" s="51">
        <v>0</v>
      </c>
      <c r="G52" s="51">
        <v>0</v>
      </c>
      <c r="H52" s="51">
        <v>0</v>
      </c>
      <c r="I52" s="51">
        <v>0</v>
      </c>
      <c r="J52" s="51">
        <v>0</v>
      </c>
      <c r="K52" s="51">
        <v>0</v>
      </c>
      <c r="L52" s="51">
        <v>0</v>
      </c>
      <c r="M52" s="51">
        <v>0</v>
      </c>
      <c r="N52" s="51">
        <v>0</v>
      </c>
      <c r="O52" s="51">
        <v>0</v>
      </c>
      <c r="P52" s="62">
        <f>'2 lentelė'!L49</f>
        <v>162366</v>
      </c>
      <c r="Q52" s="51">
        <f>'2 lentelė'!Q49</f>
        <v>110885.55</v>
      </c>
      <c r="R52" s="51">
        <f t="shared" ref="R52" si="21">D52+F52+H52+J52+L52+N52+P52</f>
        <v>162366</v>
      </c>
      <c r="S52" s="51">
        <f t="shared" ref="S52" si="22">E52+G52+I52+K52+M52+O52+Q52</f>
        <v>110885.55</v>
      </c>
      <c r="T52" s="128"/>
      <c r="U52" s="128"/>
      <c r="V52" s="128"/>
      <c r="W52" s="135"/>
    </row>
    <row r="53" spans="2:23" ht="55.5" hidden="1" customHeight="1" x14ac:dyDescent="0.25">
      <c r="B53" s="51" t="s">
        <v>1032</v>
      </c>
      <c r="C53" s="59" t="s">
        <v>1073</v>
      </c>
      <c r="D53" s="51">
        <v>0</v>
      </c>
      <c r="E53" s="51">
        <v>0</v>
      </c>
      <c r="F53" s="51">
        <v>0</v>
      </c>
      <c r="G53" s="51">
        <v>0</v>
      </c>
      <c r="H53" s="51">
        <v>0</v>
      </c>
      <c r="I53" s="51">
        <v>0</v>
      </c>
      <c r="J53" s="51">
        <v>0</v>
      </c>
      <c r="K53" s="51">
        <v>0</v>
      </c>
      <c r="L53" s="51">
        <v>0</v>
      </c>
      <c r="M53" s="51">
        <v>0</v>
      </c>
      <c r="N53" s="63">
        <v>0</v>
      </c>
      <c r="O53" s="63">
        <v>0</v>
      </c>
      <c r="P53" s="62">
        <f>'2 lentelė'!L50</f>
        <v>174510.58</v>
      </c>
      <c r="Q53" s="62">
        <f>'2 lentelė'!Q50</f>
        <v>148334</v>
      </c>
      <c r="R53" s="51">
        <f t="shared" ref="R53" si="23">D53+F53+H53+J53+L53+N53+P53</f>
        <v>174510.58</v>
      </c>
      <c r="S53" s="51">
        <f t="shared" ref="S53" si="24">E53+G53+I53+K53+M53+O53+Q53</f>
        <v>148334</v>
      </c>
      <c r="T53" s="128"/>
      <c r="U53" s="128"/>
      <c r="V53" s="128"/>
      <c r="W53" s="135"/>
    </row>
    <row r="54" spans="2:23" ht="76.5" x14ac:dyDescent="0.25">
      <c r="B54" s="107" t="s">
        <v>212</v>
      </c>
      <c r="C54" s="29" t="s">
        <v>213</v>
      </c>
      <c r="D54" s="29">
        <v>0</v>
      </c>
      <c r="E54" s="29">
        <v>0</v>
      </c>
      <c r="F54" s="29">
        <v>0</v>
      </c>
      <c r="G54" s="29">
        <f t="shared" ref="G54:S54" si="25">G55+G60+G63</f>
        <v>0</v>
      </c>
      <c r="H54" s="29">
        <f t="shared" si="25"/>
        <v>0</v>
      </c>
      <c r="I54" s="29">
        <f t="shared" si="25"/>
        <v>0</v>
      </c>
      <c r="J54" s="29">
        <f t="shared" si="25"/>
        <v>0</v>
      </c>
      <c r="K54" s="29">
        <f t="shared" si="25"/>
        <v>0</v>
      </c>
      <c r="L54" s="29">
        <f t="shared" si="25"/>
        <v>556782.24</v>
      </c>
      <c r="M54" s="29">
        <f t="shared" si="25"/>
        <v>308052</v>
      </c>
      <c r="N54" s="29">
        <f t="shared" si="25"/>
        <v>2719103.0700000003</v>
      </c>
      <c r="O54" s="29">
        <f t="shared" si="25"/>
        <v>2311238</v>
      </c>
      <c r="P54" s="29">
        <f t="shared" si="25"/>
        <v>0</v>
      </c>
      <c r="Q54" s="29">
        <f t="shared" si="25"/>
        <v>0</v>
      </c>
      <c r="R54" s="29">
        <f t="shared" si="25"/>
        <v>3275885.31</v>
      </c>
      <c r="S54" s="29">
        <f t="shared" si="25"/>
        <v>2619290</v>
      </c>
      <c r="T54" s="128"/>
      <c r="U54" s="128"/>
      <c r="V54" s="128"/>
      <c r="W54" s="135"/>
    </row>
    <row r="55" spans="2:23" ht="38.25" x14ac:dyDescent="0.25">
      <c r="B55" s="60" t="s">
        <v>214</v>
      </c>
      <c r="C55" s="60" t="s">
        <v>215</v>
      </c>
      <c r="D55" s="60">
        <v>0</v>
      </c>
      <c r="E55" s="60">
        <v>0</v>
      </c>
      <c r="F55" s="60">
        <v>0</v>
      </c>
      <c r="G55" s="60">
        <v>0</v>
      </c>
      <c r="H55" s="60">
        <f t="shared" ref="H55:S55" si="26">SUM(H56:H59)</f>
        <v>0</v>
      </c>
      <c r="I55" s="60">
        <f t="shared" si="26"/>
        <v>0</v>
      </c>
      <c r="J55" s="60">
        <f t="shared" si="26"/>
        <v>0</v>
      </c>
      <c r="K55" s="60">
        <f t="shared" si="26"/>
        <v>0</v>
      </c>
      <c r="L55" s="60">
        <f>SUM(L56:L59)</f>
        <v>556782.24</v>
      </c>
      <c r="M55" s="60">
        <f>SUM(M56:M59)</f>
        <v>308052</v>
      </c>
      <c r="N55" s="60">
        <f t="shared" si="26"/>
        <v>102941.18</v>
      </c>
      <c r="O55" s="60">
        <f t="shared" si="26"/>
        <v>87500</v>
      </c>
      <c r="P55" s="60">
        <f t="shared" si="26"/>
        <v>0</v>
      </c>
      <c r="Q55" s="60">
        <f t="shared" si="26"/>
        <v>0</v>
      </c>
      <c r="R55" s="60">
        <f t="shared" si="26"/>
        <v>659723.42000000004</v>
      </c>
      <c r="S55" s="60">
        <f t="shared" si="26"/>
        <v>395552</v>
      </c>
      <c r="T55" s="150" t="s">
        <v>1052</v>
      </c>
      <c r="U55" s="128">
        <v>395552</v>
      </c>
      <c r="V55" s="128">
        <f>U55-S55</f>
        <v>0</v>
      </c>
      <c r="W55" s="135"/>
    </row>
    <row r="56" spans="2:23" ht="87" hidden="1" customHeight="1" x14ac:dyDescent="0.25">
      <c r="B56" s="85" t="s">
        <v>216</v>
      </c>
      <c r="C56" s="51" t="s">
        <v>1022</v>
      </c>
      <c r="D56" s="51">
        <v>0</v>
      </c>
      <c r="E56" s="51">
        <v>0</v>
      </c>
      <c r="F56" s="51">
        <v>0</v>
      </c>
      <c r="G56" s="51">
        <v>0</v>
      </c>
      <c r="H56" s="51">
        <v>0</v>
      </c>
      <c r="I56" s="51">
        <v>0</v>
      </c>
      <c r="J56" s="51">
        <v>0</v>
      </c>
      <c r="K56" s="51">
        <v>0</v>
      </c>
      <c r="L56" s="51">
        <v>0</v>
      </c>
      <c r="M56" s="51">
        <v>0</v>
      </c>
      <c r="N56" s="51">
        <f>'2 lentelė'!L53</f>
        <v>102941.18</v>
      </c>
      <c r="O56" s="51">
        <f>'2 lentelė'!Q53</f>
        <v>87500</v>
      </c>
      <c r="P56" s="51">
        <v>0</v>
      </c>
      <c r="Q56" s="51">
        <v>0</v>
      </c>
      <c r="R56" s="51">
        <f>L56+N56+P56</f>
        <v>102941.18</v>
      </c>
      <c r="S56" s="85">
        <f>M56+O56+Q56</f>
        <v>87500</v>
      </c>
      <c r="T56" s="128"/>
      <c r="U56" s="128"/>
      <c r="V56" s="128"/>
      <c r="W56" s="135"/>
    </row>
    <row r="57" spans="2:23" ht="81.75" hidden="1" customHeight="1" x14ac:dyDescent="0.25">
      <c r="B57" s="85" t="s">
        <v>217</v>
      </c>
      <c r="C57" s="51" t="s">
        <v>218</v>
      </c>
      <c r="D57" s="59">
        <v>0</v>
      </c>
      <c r="E57" s="59">
        <v>0</v>
      </c>
      <c r="F57" s="59">
        <v>0</v>
      </c>
      <c r="G57" s="59">
        <v>0</v>
      </c>
      <c r="H57" s="59">
        <v>0</v>
      </c>
      <c r="I57" s="59">
        <v>0</v>
      </c>
      <c r="J57" s="59">
        <v>0</v>
      </c>
      <c r="K57" s="59">
        <v>0</v>
      </c>
      <c r="L57" s="118">
        <f>'2 lentelė'!L54</f>
        <v>226399.73</v>
      </c>
      <c r="M57" s="59">
        <f>'2 lentelė'!Q54</f>
        <v>165122</v>
      </c>
      <c r="N57" s="59">
        <v>0</v>
      </c>
      <c r="O57" s="59">
        <v>0</v>
      </c>
      <c r="P57" s="59">
        <v>0</v>
      </c>
      <c r="Q57" s="59">
        <v>0</v>
      </c>
      <c r="R57" s="51">
        <f>L57+N57+P57</f>
        <v>226399.73</v>
      </c>
      <c r="S57" s="85">
        <f>M57+O57+Q57</f>
        <v>165122</v>
      </c>
      <c r="T57" s="128"/>
      <c r="U57" s="128"/>
      <c r="V57" s="128"/>
      <c r="W57" s="135"/>
    </row>
    <row r="58" spans="2:23" ht="66.75" hidden="1" customHeight="1" x14ac:dyDescent="0.25">
      <c r="B58" s="85" t="s">
        <v>219</v>
      </c>
      <c r="C58" s="51" t="s">
        <v>220</v>
      </c>
      <c r="D58" s="59">
        <v>0</v>
      </c>
      <c r="E58" s="59">
        <v>0</v>
      </c>
      <c r="F58" s="59">
        <v>0</v>
      </c>
      <c r="G58" s="58">
        <v>0</v>
      </c>
      <c r="H58" s="58">
        <v>0</v>
      </c>
      <c r="I58" s="58">
        <v>0</v>
      </c>
      <c r="J58" s="58">
        <v>0</v>
      </c>
      <c r="K58" s="58">
        <v>0</v>
      </c>
      <c r="L58" s="58">
        <f>'2 lentelė'!L55</f>
        <v>206061.75</v>
      </c>
      <c r="M58" s="58">
        <f>'2 lentelė'!Q55</f>
        <v>71645</v>
      </c>
      <c r="N58" s="58">
        <v>0</v>
      </c>
      <c r="O58" s="58">
        <v>0</v>
      </c>
      <c r="P58" s="58">
        <v>0</v>
      </c>
      <c r="Q58" s="58">
        <v>0</v>
      </c>
      <c r="R58" s="51">
        <f t="shared" ref="R58:R59" si="27">L58+N58+P58</f>
        <v>206061.75</v>
      </c>
      <c r="S58" s="85">
        <f t="shared" ref="S58:S59" si="28">M58+O58+Q58</f>
        <v>71645</v>
      </c>
      <c r="T58" s="128"/>
      <c r="U58" s="128"/>
      <c r="V58" s="128"/>
      <c r="W58" s="135"/>
    </row>
    <row r="59" spans="2:23" ht="78" hidden="1" customHeight="1" x14ac:dyDescent="0.25">
      <c r="B59" s="85" t="s">
        <v>221</v>
      </c>
      <c r="C59" s="51" t="s">
        <v>222</v>
      </c>
      <c r="D59" s="59">
        <v>0</v>
      </c>
      <c r="E59" s="59">
        <v>0</v>
      </c>
      <c r="F59" s="59">
        <v>0</v>
      </c>
      <c r="G59" s="58">
        <v>0</v>
      </c>
      <c r="H59" s="58">
        <v>0</v>
      </c>
      <c r="I59" s="58">
        <v>0</v>
      </c>
      <c r="J59" s="58">
        <v>0</v>
      </c>
      <c r="K59" s="58">
        <v>0</v>
      </c>
      <c r="L59" s="58">
        <f>'2 lentelė'!L56</f>
        <v>124320.76</v>
      </c>
      <c r="M59" s="58">
        <f>'2 lentelė'!Q56</f>
        <v>71285</v>
      </c>
      <c r="N59" s="58">
        <v>0</v>
      </c>
      <c r="O59" s="58">
        <v>0</v>
      </c>
      <c r="P59" s="58">
        <v>0</v>
      </c>
      <c r="Q59" s="58">
        <v>0</v>
      </c>
      <c r="R59" s="51">
        <f t="shared" si="27"/>
        <v>124320.76</v>
      </c>
      <c r="S59" s="85">
        <f t="shared" si="28"/>
        <v>71285</v>
      </c>
      <c r="T59" s="128"/>
      <c r="U59" s="128"/>
      <c r="V59" s="128"/>
      <c r="W59" s="135"/>
    </row>
    <row r="60" spans="2:23" ht="38.25" x14ac:dyDescent="0.25">
      <c r="B60" s="60" t="s">
        <v>223</v>
      </c>
      <c r="C60" s="60" t="s">
        <v>224</v>
      </c>
      <c r="D60" s="60">
        <f>SUM(D61:D62)</f>
        <v>0</v>
      </c>
      <c r="E60" s="60">
        <f t="shared" ref="E60:S60" si="29">SUM(E61:E62)</f>
        <v>0</v>
      </c>
      <c r="F60" s="60">
        <f t="shared" si="29"/>
        <v>0</v>
      </c>
      <c r="G60" s="60">
        <f t="shared" si="29"/>
        <v>0</v>
      </c>
      <c r="H60" s="60">
        <f t="shared" si="29"/>
        <v>0</v>
      </c>
      <c r="I60" s="60">
        <f t="shared" si="29"/>
        <v>0</v>
      </c>
      <c r="J60" s="60">
        <f t="shared" si="29"/>
        <v>0</v>
      </c>
      <c r="K60" s="60">
        <f t="shared" si="29"/>
        <v>0</v>
      </c>
      <c r="L60" s="60">
        <f t="shared" si="29"/>
        <v>0</v>
      </c>
      <c r="M60" s="60">
        <f t="shared" si="29"/>
        <v>0</v>
      </c>
      <c r="N60" s="60">
        <f t="shared" si="29"/>
        <v>1424514.8900000001</v>
      </c>
      <c r="O60" s="60">
        <f t="shared" si="29"/>
        <v>1210838</v>
      </c>
      <c r="P60" s="60">
        <f t="shared" si="29"/>
        <v>0</v>
      </c>
      <c r="Q60" s="60">
        <f t="shared" si="29"/>
        <v>0</v>
      </c>
      <c r="R60" s="60">
        <f t="shared" si="29"/>
        <v>1424514.8900000001</v>
      </c>
      <c r="S60" s="60">
        <f t="shared" si="29"/>
        <v>1210838</v>
      </c>
      <c r="T60" s="150" t="s">
        <v>1067</v>
      </c>
      <c r="U60" s="128">
        <v>1210838</v>
      </c>
      <c r="V60" s="128">
        <f>U60-S60</f>
        <v>0</v>
      </c>
      <c r="W60" s="135"/>
    </row>
    <row r="61" spans="2:23" ht="51" hidden="1" x14ac:dyDescent="0.25">
      <c r="B61" s="85" t="s">
        <v>227</v>
      </c>
      <c r="C61" s="51" t="s">
        <v>228</v>
      </c>
      <c r="D61" s="59">
        <v>0</v>
      </c>
      <c r="E61" s="59">
        <v>0</v>
      </c>
      <c r="F61" s="59">
        <v>0</v>
      </c>
      <c r="G61" s="58">
        <v>0</v>
      </c>
      <c r="H61" s="58">
        <v>0</v>
      </c>
      <c r="I61" s="58">
        <v>0</v>
      </c>
      <c r="J61" s="58">
        <v>0</v>
      </c>
      <c r="K61" s="58">
        <v>0</v>
      </c>
      <c r="L61" s="58">
        <v>0</v>
      </c>
      <c r="M61" s="58">
        <v>0</v>
      </c>
      <c r="N61" s="58">
        <f>'2 lentelė'!L60</f>
        <v>859809</v>
      </c>
      <c r="O61" s="58">
        <f>'2 lentelė'!Q60</f>
        <v>730838</v>
      </c>
      <c r="P61" s="58">
        <v>0</v>
      </c>
      <c r="Q61" s="58">
        <v>0</v>
      </c>
      <c r="R61" s="58">
        <f t="shared" ref="R61:S62" si="30">D61+F61+H61+J61+L61+N61+P61</f>
        <v>859809</v>
      </c>
      <c r="S61" s="58">
        <f t="shared" si="30"/>
        <v>730838</v>
      </c>
      <c r="T61" s="128"/>
      <c r="U61" s="128"/>
      <c r="V61" s="128"/>
      <c r="W61" s="135"/>
    </row>
    <row r="62" spans="2:23" ht="38.25" hidden="1" x14ac:dyDescent="0.25">
      <c r="B62" s="85" t="s">
        <v>1014</v>
      </c>
      <c r="C62" s="51" t="s">
        <v>1019</v>
      </c>
      <c r="D62" s="59">
        <v>0</v>
      </c>
      <c r="E62" s="59">
        <v>0</v>
      </c>
      <c r="F62" s="59">
        <v>0</v>
      </c>
      <c r="G62" s="58">
        <v>0</v>
      </c>
      <c r="H62" s="58">
        <v>0</v>
      </c>
      <c r="I62" s="58">
        <v>0</v>
      </c>
      <c r="J62" s="58">
        <v>0</v>
      </c>
      <c r="K62" s="58">
        <v>0</v>
      </c>
      <c r="L62" s="58">
        <v>0</v>
      </c>
      <c r="M62" s="58">
        <v>0</v>
      </c>
      <c r="N62" s="58">
        <f>'2 lentelė'!L62</f>
        <v>564705.89</v>
      </c>
      <c r="O62" s="58">
        <f>'2 lentelė'!Q62</f>
        <v>480000</v>
      </c>
      <c r="P62" s="58">
        <v>0</v>
      </c>
      <c r="Q62" s="58">
        <v>0</v>
      </c>
      <c r="R62" s="58">
        <f t="shared" si="30"/>
        <v>564705.89</v>
      </c>
      <c r="S62" s="58">
        <f t="shared" si="30"/>
        <v>480000</v>
      </c>
      <c r="T62" s="128"/>
      <c r="U62" s="128"/>
      <c r="V62" s="128"/>
      <c r="W62" s="135"/>
    </row>
    <row r="63" spans="2:23" ht="75" customHeight="1" x14ac:dyDescent="0.25">
      <c r="B63" s="60" t="s">
        <v>231</v>
      </c>
      <c r="C63" s="60" t="s">
        <v>232</v>
      </c>
      <c r="D63" s="60">
        <f t="shared" ref="D63:S63" si="31">D64+D65+D66</f>
        <v>0</v>
      </c>
      <c r="E63" s="60">
        <f t="shared" si="31"/>
        <v>0</v>
      </c>
      <c r="F63" s="60">
        <f t="shared" si="31"/>
        <v>0</v>
      </c>
      <c r="G63" s="60">
        <f t="shared" si="31"/>
        <v>0</v>
      </c>
      <c r="H63" s="60">
        <f t="shared" si="31"/>
        <v>0</v>
      </c>
      <c r="I63" s="60">
        <f t="shared" si="31"/>
        <v>0</v>
      </c>
      <c r="J63" s="60">
        <f t="shared" si="31"/>
        <v>0</v>
      </c>
      <c r="K63" s="60">
        <f t="shared" si="31"/>
        <v>0</v>
      </c>
      <c r="L63" s="60">
        <f t="shared" si="31"/>
        <v>0</v>
      </c>
      <c r="M63" s="60">
        <f t="shared" si="31"/>
        <v>0</v>
      </c>
      <c r="N63" s="60">
        <f t="shared" si="31"/>
        <v>1191647</v>
      </c>
      <c r="O63" s="60">
        <f t="shared" si="31"/>
        <v>1012900</v>
      </c>
      <c r="P63" s="60">
        <f t="shared" si="31"/>
        <v>0</v>
      </c>
      <c r="Q63" s="60">
        <f t="shared" si="31"/>
        <v>0</v>
      </c>
      <c r="R63" s="60">
        <f t="shared" si="31"/>
        <v>1191647</v>
      </c>
      <c r="S63" s="60">
        <f t="shared" si="31"/>
        <v>1012900</v>
      </c>
      <c r="T63" s="150" t="s">
        <v>1066</v>
      </c>
      <c r="U63" s="128">
        <v>1012900</v>
      </c>
      <c r="V63" s="128">
        <f>U63-S63</f>
        <v>0</v>
      </c>
      <c r="W63" s="135"/>
    </row>
    <row r="64" spans="2:23" ht="12.75" hidden="1" customHeight="1" x14ac:dyDescent="0.25">
      <c r="B64" s="85"/>
      <c r="C64" s="51"/>
      <c r="D64" s="59"/>
      <c r="E64" s="59"/>
      <c r="F64" s="59"/>
      <c r="G64" s="58"/>
      <c r="H64" s="58"/>
      <c r="I64" s="58"/>
      <c r="J64" s="58"/>
      <c r="K64" s="58"/>
      <c r="L64" s="58"/>
      <c r="M64" s="58"/>
      <c r="N64" s="58"/>
      <c r="O64" s="58"/>
      <c r="P64" s="58"/>
      <c r="Q64" s="58"/>
      <c r="R64" s="58"/>
      <c r="S64" s="58"/>
      <c r="T64" s="128"/>
      <c r="U64" s="128"/>
      <c r="V64" s="128"/>
      <c r="W64" s="135"/>
    </row>
    <row r="65" spans="2:23" ht="16.5" hidden="1" customHeight="1" x14ac:dyDescent="0.25">
      <c r="B65" s="85"/>
      <c r="C65" s="51"/>
      <c r="D65" s="59"/>
      <c r="E65" s="59"/>
      <c r="F65" s="59"/>
      <c r="G65" s="58"/>
      <c r="H65" s="58"/>
      <c r="I65" s="58"/>
      <c r="J65" s="58"/>
      <c r="K65" s="58"/>
      <c r="L65" s="58"/>
      <c r="M65" s="58"/>
      <c r="N65" s="58"/>
      <c r="O65" s="58"/>
      <c r="P65" s="58"/>
      <c r="Q65" s="58"/>
      <c r="R65" s="58"/>
      <c r="S65" s="58"/>
      <c r="T65" s="128"/>
      <c r="U65" s="128"/>
      <c r="V65" s="128"/>
      <c r="W65" s="135"/>
    </row>
    <row r="66" spans="2:23" ht="51" hidden="1" x14ac:dyDescent="0.25">
      <c r="B66" s="85" t="s">
        <v>233</v>
      </c>
      <c r="C66" s="51" t="s">
        <v>234</v>
      </c>
      <c r="D66" s="59">
        <v>0</v>
      </c>
      <c r="E66" s="59">
        <v>0</v>
      </c>
      <c r="F66" s="59">
        <v>0</v>
      </c>
      <c r="G66" s="58">
        <v>0</v>
      </c>
      <c r="H66" s="58">
        <v>0</v>
      </c>
      <c r="I66" s="58">
        <v>0</v>
      </c>
      <c r="J66" s="58">
        <v>0</v>
      </c>
      <c r="K66" s="58">
        <v>0</v>
      </c>
      <c r="L66" s="58">
        <v>0</v>
      </c>
      <c r="M66" s="58">
        <v>0</v>
      </c>
      <c r="N66" s="58">
        <f>'2 lentelė'!L65</f>
        <v>1191647</v>
      </c>
      <c r="O66" s="58">
        <f>'2 lentelė'!Q65</f>
        <v>1012900</v>
      </c>
      <c r="P66" s="58">
        <v>0</v>
      </c>
      <c r="Q66" s="58">
        <v>0</v>
      </c>
      <c r="R66" s="58">
        <f>D66+F66+H66+J66+L66+N66+P66</f>
        <v>1191647</v>
      </c>
      <c r="S66" s="58">
        <f>E66+G66+I66+K66+M66+O66+Q66</f>
        <v>1012900</v>
      </c>
      <c r="T66" s="128"/>
      <c r="U66" s="128"/>
      <c r="V66" s="128"/>
      <c r="W66" s="135"/>
    </row>
    <row r="67" spans="2:23" ht="25.5" x14ac:dyDescent="0.25">
      <c r="B67" s="121" t="s">
        <v>945</v>
      </c>
      <c r="C67" s="79" t="s">
        <v>946</v>
      </c>
      <c r="D67" s="79">
        <f>D68+D79+D115</f>
        <v>0</v>
      </c>
      <c r="E67" s="79">
        <f t="shared" ref="E67:S67" si="32">E68+E79+E115</f>
        <v>0</v>
      </c>
      <c r="F67" s="79">
        <f t="shared" si="32"/>
        <v>0</v>
      </c>
      <c r="G67" s="79">
        <f t="shared" si="32"/>
        <v>0</v>
      </c>
      <c r="H67" s="79">
        <f t="shared" si="32"/>
        <v>10958032.060000001</v>
      </c>
      <c r="I67" s="79">
        <f t="shared" si="32"/>
        <v>6758507.5700000003</v>
      </c>
      <c r="J67" s="79">
        <f t="shared" si="32"/>
        <v>9428275.9000000004</v>
      </c>
      <c r="K67" s="79">
        <f t="shared" si="32"/>
        <v>7712894.4299999997</v>
      </c>
      <c r="L67" s="79">
        <f t="shared" si="32"/>
        <v>2508962.27</v>
      </c>
      <c r="M67" s="79">
        <f t="shared" si="32"/>
        <v>2095777.13</v>
      </c>
      <c r="N67" s="79">
        <f t="shared" si="32"/>
        <v>11616919.35</v>
      </c>
      <c r="O67" s="79">
        <f t="shared" si="32"/>
        <v>2770741.05</v>
      </c>
      <c r="P67" s="79">
        <f t="shared" si="32"/>
        <v>588235.30000000005</v>
      </c>
      <c r="Q67" s="79">
        <f t="shared" si="32"/>
        <v>500000</v>
      </c>
      <c r="R67" s="79">
        <f t="shared" si="32"/>
        <v>35100424.880000003</v>
      </c>
      <c r="S67" s="79">
        <f t="shared" si="32"/>
        <v>19837920.18</v>
      </c>
      <c r="T67" s="128"/>
      <c r="U67" s="128"/>
      <c r="V67" s="128"/>
      <c r="W67" s="135"/>
    </row>
    <row r="68" spans="2:23" ht="57.75" customHeight="1" x14ac:dyDescent="0.25">
      <c r="B68" s="75" t="s">
        <v>235</v>
      </c>
      <c r="C68" s="76" t="s">
        <v>236</v>
      </c>
      <c r="D68" s="75">
        <v>0</v>
      </c>
      <c r="E68" s="76">
        <v>0</v>
      </c>
      <c r="F68" s="75">
        <v>0</v>
      </c>
      <c r="G68" s="76">
        <v>0</v>
      </c>
      <c r="H68" s="75">
        <f t="shared" ref="H68:R68" si="33">H69+H75</f>
        <v>0</v>
      </c>
      <c r="I68" s="76">
        <f t="shared" si="33"/>
        <v>0</v>
      </c>
      <c r="J68" s="75">
        <f t="shared" si="33"/>
        <v>1762702.06</v>
      </c>
      <c r="K68" s="76">
        <f t="shared" si="33"/>
        <v>1440321.7600000002</v>
      </c>
      <c r="L68" s="75">
        <f t="shared" si="33"/>
        <v>0</v>
      </c>
      <c r="M68" s="76">
        <f t="shared" si="33"/>
        <v>0</v>
      </c>
      <c r="N68" s="75">
        <f t="shared" si="33"/>
        <v>341536.27</v>
      </c>
      <c r="O68" s="76">
        <f t="shared" si="33"/>
        <v>290305.83</v>
      </c>
      <c r="P68" s="75">
        <f t="shared" si="33"/>
        <v>0</v>
      </c>
      <c r="Q68" s="76">
        <f t="shared" si="33"/>
        <v>0</v>
      </c>
      <c r="R68" s="75">
        <f t="shared" si="33"/>
        <v>2104238.33</v>
      </c>
      <c r="S68" s="75">
        <f>S69+S75</f>
        <v>1730627.59</v>
      </c>
      <c r="T68" s="128"/>
      <c r="U68" s="128"/>
      <c r="V68" s="128"/>
      <c r="W68" s="135"/>
    </row>
    <row r="69" spans="2:23" ht="38.25" x14ac:dyDescent="0.25">
      <c r="B69" s="107" t="s">
        <v>237</v>
      </c>
      <c r="C69" s="29" t="s">
        <v>238</v>
      </c>
      <c r="D69" s="107">
        <v>0</v>
      </c>
      <c r="E69" s="29">
        <v>0</v>
      </c>
      <c r="F69" s="107">
        <v>0</v>
      </c>
      <c r="G69" s="29">
        <v>0</v>
      </c>
      <c r="H69" s="107">
        <f>SUM(H70)</f>
        <v>0</v>
      </c>
      <c r="I69" s="29">
        <f t="shared" ref="I69:R69" si="34">SUM(I70)</f>
        <v>0</v>
      </c>
      <c r="J69" s="107">
        <f t="shared" si="34"/>
        <v>1463952.78</v>
      </c>
      <c r="K69" s="29">
        <f t="shared" si="34"/>
        <v>1186384.8800000001</v>
      </c>
      <c r="L69" s="107">
        <f t="shared" si="34"/>
        <v>0</v>
      </c>
      <c r="M69" s="29">
        <f t="shared" si="34"/>
        <v>0</v>
      </c>
      <c r="N69" s="107">
        <f t="shared" si="34"/>
        <v>0</v>
      </c>
      <c r="O69" s="29">
        <f t="shared" si="34"/>
        <v>0</v>
      </c>
      <c r="P69" s="107">
        <f t="shared" si="34"/>
        <v>0</v>
      </c>
      <c r="Q69" s="29">
        <f t="shared" si="34"/>
        <v>0</v>
      </c>
      <c r="R69" s="107">
        <f t="shared" si="34"/>
        <v>1463952.78</v>
      </c>
      <c r="S69" s="107">
        <f>SUM(S70)</f>
        <v>1186384.8800000001</v>
      </c>
      <c r="T69" s="128"/>
      <c r="U69" s="128"/>
      <c r="V69" s="128"/>
      <c r="W69" s="135"/>
    </row>
    <row r="70" spans="2:23" ht="72" customHeight="1" x14ac:dyDescent="0.25">
      <c r="B70" s="60" t="s">
        <v>239</v>
      </c>
      <c r="C70" s="60" t="s">
        <v>240</v>
      </c>
      <c r="D70" s="60">
        <v>0</v>
      </c>
      <c r="E70" s="60">
        <v>0</v>
      </c>
      <c r="F70" s="60">
        <v>0</v>
      </c>
      <c r="G70" s="60">
        <v>0</v>
      </c>
      <c r="H70" s="60">
        <f>SUM(H72:H74)</f>
        <v>0</v>
      </c>
      <c r="I70" s="60">
        <f>SUM(I72:I74)</f>
        <v>0</v>
      </c>
      <c r="J70" s="60">
        <f>SUM(J71:J74)</f>
        <v>1463952.78</v>
      </c>
      <c r="K70" s="60">
        <f>SUM(K71:K74)</f>
        <v>1186384.8800000001</v>
      </c>
      <c r="L70" s="60">
        <f t="shared" ref="L70:Q70" si="35">SUM(L71:L74)</f>
        <v>0</v>
      </c>
      <c r="M70" s="60">
        <f t="shared" si="35"/>
        <v>0</v>
      </c>
      <c r="N70" s="60">
        <f t="shared" si="35"/>
        <v>0</v>
      </c>
      <c r="O70" s="60">
        <f t="shared" si="35"/>
        <v>0</v>
      </c>
      <c r="P70" s="60">
        <f t="shared" si="35"/>
        <v>0</v>
      </c>
      <c r="Q70" s="60">
        <f t="shared" si="35"/>
        <v>0</v>
      </c>
      <c r="R70" s="60">
        <f>SUM(R71:R74)</f>
        <v>1463952.78</v>
      </c>
      <c r="S70" s="60">
        <f>SUM(S71:S74)</f>
        <v>1186384.8800000001</v>
      </c>
      <c r="T70" s="150" t="s">
        <v>1053</v>
      </c>
      <c r="U70" s="128">
        <v>1186384.8799999999</v>
      </c>
      <c r="V70" s="128">
        <f>U70-S70</f>
        <v>0</v>
      </c>
      <c r="W70" s="135"/>
    </row>
    <row r="71" spans="2:23" ht="76.5" hidden="1" x14ac:dyDescent="0.25">
      <c r="B71" s="85" t="s">
        <v>241</v>
      </c>
      <c r="C71" s="51" t="s">
        <v>242</v>
      </c>
      <c r="D71" s="59">
        <v>0</v>
      </c>
      <c r="E71" s="59">
        <v>0</v>
      </c>
      <c r="F71" s="59">
        <v>0</v>
      </c>
      <c r="G71" s="58">
        <v>0</v>
      </c>
      <c r="H71" s="58">
        <v>0</v>
      </c>
      <c r="I71" s="58">
        <v>0</v>
      </c>
      <c r="J71" s="58">
        <f>'2 lentelė'!L70</f>
        <v>493252.18</v>
      </c>
      <c r="K71" s="58">
        <f>'2 lentelė'!Q70</f>
        <v>419264.35</v>
      </c>
      <c r="L71" s="58">
        <v>0</v>
      </c>
      <c r="M71" s="58">
        <v>0</v>
      </c>
      <c r="N71" s="58">
        <v>0</v>
      </c>
      <c r="O71" s="58">
        <v>0</v>
      </c>
      <c r="P71" s="58">
        <v>0</v>
      </c>
      <c r="Q71" s="58">
        <v>0</v>
      </c>
      <c r="R71" s="58">
        <f t="shared" ref="R71:S74" si="36">D71+F71+H71+J71+L71+N71+P71</f>
        <v>493252.18</v>
      </c>
      <c r="S71" s="58">
        <f t="shared" si="36"/>
        <v>419264.35</v>
      </c>
      <c r="T71" s="128"/>
      <c r="U71" s="128"/>
      <c r="V71" s="128"/>
      <c r="W71" s="135"/>
    </row>
    <row r="72" spans="2:23" ht="64.5" hidden="1" customHeight="1" x14ac:dyDescent="0.25">
      <c r="B72" s="85" t="s">
        <v>243</v>
      </c>
      <c r="C72" s="51" t="s">
        <v>244</v>
      </c>
      <c r="D72" s="59">
        <v>0</v>
      </c>
      <c r="E72" s="59">
        <v>0</v>
      </c>
      <c r="F72" s="59">
        <v>0</v>
      </c>
      <c r="G72" s="58">
        <v>0</v>
      </c>
      <c r="H72" s="58">
        <v>0</v>
      </c>
      <c r="I72" s="58">
        <v>0</v>
      </c>
      <c r="J72" s="58">
        <f>'2 lentelė'!L71</f>
        <v>282956.7</v>
      </c>
      <c r="K72" s="58">
        <f>'2 lentelė'!Q71</f>
        <v>240513.19</v>
      </c>
      <c r="L72" s="58">
        <v>0</v>
      </c>
      <c r="M72" s="58">
        <v>0</v>
      </c>
      <c r="N72" s="58">
        <v>0</v>
      </c>
      <c r="O72" s="58">
        <v>0</v>
      </c>
      <c r="P72" s="58">
        <v>0</v>
      </c>
      <c r="Q72" s="58">
        <v>0</v>
      </c>
      <c r="R72" s="58">
        <f t="shared" si="36"/>
        <v>282956.7</v>
      </c>
      <c r="S72" s="58">
        <f t="shared" si="36"/>
        <v>240513.19</v>
      </c>
      <c r="T72" s="128"/>
      <c r="U72" s="128"/>
      <c r="V72" s="128"/>
      <c r="W72" s="135"/>
    </row>
    <row r="73" spans="2:23" ht="127.5" hidden="1" x14ac:dyDescent="0.25">
      <c r="B73" s="85" t="s">
        <v>245</v>
      </c>
      <c r="C73" s="51" t="s">
        <v>246</v>
      </c>
      <c r="D73" s="59">
        <v>0</v>
      </c>
      <c r="E73" s="59">
        <v>0</v>
      </c>
      <c r="F73" s="59">
        <v>0</v>
      </c>
      <c r="G73" s="58">
        <v>0</v>
      </c>
      <c r="H73" s="58">
        <v>0</v>
      </c>
      <c r="I73" s="58">
        <v>0</v>
      </c>
      <c r="J73" s="58">
        <f>'2 lentelė'!L72</f>
        <v>270483.15000000002</v>
      </c>
      <c r="K73" s="58">
        <f>'2 lentelė'!Q72</f>
        <v>221058</v>
      </c>
      <c r="L73" s="58">
        <v>0</v>
      </c>
      <c r="M73" s="58">
        <v>0</v>
      </c>
      <c r="N73" s="58">
        <v>0</v>
      </c>
      <c r="O73" s="58">
        <v>0</v>
      </c>
      <c r="P73" s="58">
        <v>0</v>
      </c>
      <c r="Q73" s="58">
        <v>0</v>
      </c>
      <c r="R73" s="58">
        <f t="shared" si="36"/>
        <v>270483.15000000002</v>
      </c>
      <c r="S73" s="58">
        <f t="shared" si="36"/>
        <v>221058</v>
      </c>
      <c r="T73" s="128"/>
      <c r="U73" s="128"/>
      <c r="V73" s="128"/>
      <c r="W73" s="135"/>
    </row>
    <row r="74" spans="2:23" ht="51" hidden="1" x14ac:dyDescent="0.25">
      <c r="B74" s="85" t="s">
        <v>247</v>
      </c>
      <c r="C74" s="51" t="s">
        <v>248</v>
      </c>
      <c r="D74" s="59">
        <v>0</v>
      </c>
      <c r="E74" s="59">
        <v>0</v>
      </c>
      <c r="F74" s="59">
        <v>0</v>
      </c>
      <c r="G74" s="58">
        <v>0</v>
      </c>
      <c r="H74" s="58">
        <v>0</v>
      </c>
      <c r="I74" s="58">
        <v>0</v>
      </c>
      <c r="J74" s="58">
        <f>'2 lentelė'!L73</f>
        <v>417260.75</v>
      </c>
      <c r="K74" s="58">
        <f>'2 lentelė'!Q73</f>
        <v>305549.34000000003</v>
      </c>
      <c r="L74" s="58">
        <v>0</v>
      </c>
      <c r="M74" s="58">
        <v>0</v>
      </c>
      <c r="N74" s="58">
        <v>0</v>
      </c>
      <c r="O74" s="58">
        <v>0</v>
      </c>
      <c r="P74" s="58">
        <v>0</v>
      </c>
      <c r="Q74" s="58">
        <v>0</v>
      </c>
      <c r="R74" s="58">
        <f t="shared" si="36"/>
        <v>417260.75</v>
      </c>
      <c r="S74" s="58">
        <f t="shared" si="36"/>
        <v>305549.34000000003</v>
      </c>
      <c r="T74" s="128"/>
      <c r="U74" s="128"/>
      <c r="V74" s="128"/>
      <c r="W74" s="135"/>
    </row>
    <row r="75" spans="2:23" ht="48.75" customHeight="1" x14ac:dyDescent="0.25">
      <c r="B75" s="107" t="s">
        <v>249</v>
      </c>
      <c r="C75" s="29" t="s">
        <v>250</v>
      </c>
      <c r="D75" s="107">
        <v>0</v>
      </c>
      <c r="E75" s="29">
        <v>0</v>
      </c>
      <c r="F75" s="107">
        <v>0</v>
      </c>
      <c r="G75" s="29">
        <v>0</v>
      </c>
      <c r="H75" s="107">
        <f>SUM(H76)</f>
        <v>0</v>
      </c>
      <c r="I75" s="29">
        <f t="shared" ref="I75:S75" si="37">SUM(I76)</f>
        <v>0</v>
      </c>
      <c r="J75" s="107">
        <f t="shared" si="37"/>
        <v>298749.28000000003</v>
      </c>
      <c r="K75" s="29">
        <f t="shared" si="37"/>
        <v>253936.88</v>
      </c>
      <c r="L75" s="107">
        <f t="shared" si="37"/>
        <v>0</v>
      </c>
      <c r="M75" s="29">
        <f t="shared" si="37"/>
        <v>0</v>
      </c>
      <c r="N75" s="107">
        <f t="shared" si="37"/>
        <v>341536.27</v>
      </c>
      <c r="O75" s="29">
        <f t="shared" si="37"/>
        <v>290305.83</v>
      </c>
      <c r="P75" s="107">
        <f t="shared" si="37"/>
        <v>0</v>
      </c>
      <c r="Q75" s="29">
        <f t="shared" si="37"/>
        <v>0</v>
      </c>
      <c r="R75" s="107">
        <f t="shared" si="37"/>
        <v>640285.55000000005</v>
      </c>
      <c r="S75" s="107">
        <f t="shared" si="37"/>
        <v>544242.71</v>
      </c>
      <c r="T75" s="128"/>
      <c r="U75" s="128"/>
      <c r="V75" s="128"/>
      <c r="W75" s="135"/>
    </row>
    <row r="76" spans="2:23" ht="85.5" customHeight="1" x14ac:dyDescent="0.25">
      <c r="B76" s="60" t="s">
        <v>251</v>
      </c>
      <c r="C76" s="60" t="s">
        <v>252</v>
      </c>
      <c r="D76" s="60">
        <f>D77+D78</f>
        <v>0</v>
      </c>
      <c r="E76" s="60">
        <f t="shared" ref="E76:S76" si="38">E77+E78</f>
        <v>0</v>
      </c>
      <c r="F76" s="60">
        <f t="shared" si="38"/>
        <v>0</v>
      </c>
      <c r="G76" s="60">
        <f t="shared" si="38"/>
        <v>0</v>
      </c>
      <c r="H76" s="60">
        <f t="shared" si="38"/>
        <v>0</v>
      </c>
      <c r="I76" s="60">
        <f t="shared" si="38"/>
        <v>0</v>
      </c>
      <c r="J76" s="60">
        <f t="shared" si="38"/>
        <v>298749.28000000003</v>
      </c>
      <c r="K76" s="60">
        <f t="shared" si="38"/>
        <v>253936.88</v>
      </c>
      <c r="L76" s="60">
        <f t="shared" si="38"/>
        <v>0</v>
      </c>
      <c r="M76" s="60">
        <f t="shared" si="38"/>
        <v>0</v>
      </c>
      <c r="N76" s="60">
        <f t="shared" si="38"/>
        <v>341536.27</v>
      </c>
      <c r="O76" s="60">
        <f t="shared" si="38"/>
        <v>290305.83</v>
      </c>
      <c r="P76" s="60">
        <f t="shared" si="38"/>
        <v>0</v>
      </c>
      <c r="Q76" s="60">
        <f t="shared" si="38"/>
        <v>0</v>
      </c>
      <c r="R76" s="60">
        <f t="shared" si="38"/>
        <v>640285.55000000005</v>
      </c>
      <c r="S76" s="60">
        <f t="shared" si="38"/>
        <v>544242.71</v>
      </c>
      <c r="T76" s="150" t="s">
        <v>1068</v>
      </c>
      <c r="U76" s="128">
        <v>825953</v>
      </c>
      <c r="V76" s="128">
        <f>U76-S76</f>
        <v>281710.29000000004</v>
      </c>
      <c r="W76" s="135"/>
    </row>
    <row r="77" spans="2:23" ht="76.5" hidden="1" x14ac:dyDescent="0.25">
      <c r="B77" s="85" t="s">
        <v>253</v>
      </c>
      <c r="C77" s="51" t="s">
        <v>254</v>
      </c>
      <c r="D77" s="59">
        <v>0</v>
      </c>
      <c r="E77" s="59">
        <v>0</v>
      </c>
      <c r="F77" s="59">
        <v>0</v>
      </c>
      <c r="G77" s="58">
        <v>0</v>
      </c>
      <c r="H77" s="58">
        <v>0</v>
      </c>
      <c r="I77" s="58">
        <v>0</v>
      </c>
      <c r="J77" s="58">
        <f>'2 lentelė'!L76</f>
        <v>298749.28000000003</v>
      </c>
      <c r="K77" s="58">
        <f>'2 lentelė'!Q76</f>
        <v>253936.88</v>
      </c>
      <c r="L77" s="58">
        <v>0</v>
      </c>
      <c r="M77" s="58">
        <v>0</v>
      </c>
      <c r="N77" s="58">
        <v>0</v>
      </c>
      <c r="O77" s="58">
        <v>0</v>
      </c>
      <c r="P77" s="58">
        <v>0</v>
      </c>
      <c r="Q77" s="58">
        <v>0</v>
      </c>
      <c r="R77" s="58">
        <f>D77+F77+H77+J77+L77+N77+P77</f>
        <v>298749.28000000003</v>
      </c>
      <c r="S77" s="58">
        <f>E77+G77+I77+K77+M77+O77+Q77</f>
        <v>253936.88</v>
      </c>
      <c r="T77" s="128"/>
      <c r="U77" s="128"/>
      <c r="V77" s="128"/>
      <c r="W77" s="135"/>
    </row>
    <row r="78" spans="2:23" ht="51" hidden="1" x14ac:dyDescent="0.25">
      <c r="B78" s="85" t="s">
        <v>1011</v>
      </c>
      <c r="C78" s="51" t="s">
        <v>1009</v>
      </c>
      <c r="D78" s="59">
        <v>0</v>
      </c>
      <c r="E78" s="59">
        <v>0</v>
      </c>
      <c r="F78" s="59">
        <v>0</v>
      </c>
      <c r="G78" s="58">
        <v>0</v>
      </c>
      <c r="H78" s="58">
        <v>0</v>
      </c>
      <c r="I78" s="58">
        <v>0</v>
      </c>
      <c r="J78" s="58">
        <v>0</v>
      </c>
      <c r="K78" s="58">
        <v>0</v>
      </c>
      <c r="L78" s="58">
        <v>0</v>
      </c>
      <c r="M78" s="58">
        <v>0</v>
      </c>
      <c r="N78" s="58">
        <f>'2 lentelė'!L77</f>
        <v>341536.27</v>
      </c>
      <c r="O78" s="58">
        <f>'2 lentelė'!Q77</f>
        <v>290305.83</v>
      </c>
      <c r="P78" s="58">
        <v>0</v>
      </c>
      <c r="Q78" s="58">
        <v>0</v>
      </c>
      <c r="R78" s="58">
        <f>D78+F78+H78+J78+L78+N78+P78</f>
        <v>341536.27</v>
      </c>
      <c r="S78" s="58">
        <f>E78+G78+I78+K78+M78+O78+Q78</f>
        <v>290305.83</v>
      </c>
      <c r="T78" s="128"/>
      <c r="U78" s="128"/>
      <c r="V78" s="128"/>
      <c r="W78" s="135"/>
    </row>
    <row r="79" spans="2:23" ht="37.5" customHeight="1" x14ac:dyDescent="0.25">
      <c r="B79" s="75" t="s">
        <v>255</v>
      </c>
      <c r="C79" s="76" t="s">
        <v>256</v>
      </c>
      <c r="D79" s="75">
        <v>0</v>
      </c>
      <c r="E79" s="76">
        <v>0</v>
      </c>
      <c r="F79" s="75">
        <v>0</v>
      </c>
      <c r="G79" s="76">
        <f t="shared" ref="G79:S79" si="39">G80+G103</f>
        <v>0</v>
      </c>
      <c r="H79" s="76">
        <f t="shared" si="39"/>
        <v>10958032.060000001</v>
      </c>
      <c r="I79" s="76">
        <f t="shared" si="39"/>
        <v>6758507.5700000003</v>
      </c>
      <c r="J79" s="76">
        <f t="shared" si="39"/>
        <v>7665573.8399999999</v>
      </c>
      <c r="K79" s="76">
        <f t="shared" si="39"/>
        <v>6272572.6699999999</v>
      </c>
      <c r="L79" s="76">
        <f t="shared" si="39"/>
        <v>464586.27</v>
      </c>
      <c r="M79" s="76">
        <f t="shared" si="39"/>
        <v>358057.13</v>
      </c>
      <c r="N79" s="76">
        <f t="shared" si="39"/>
        <v>4275383.08</v>
      </c>
      <c r="O79" s="76">
        <f t="shared" si="39"/>
        <v>2480435.2199999997</v>
      </c>
      <c r="P79" s="76">
        <f t="shared" si="39"/>
        <v>588235.30000000005</v>
      </c>
      <c r="Q79" s="76">
        <f t="shared" si="39"/>
        <v>500000</v>
      </c>
      <c r="R79" s="76">
        <f t="shared" si="39"/>
        <v>23951810.550000001</v>
      </c>
      <c r="S79" s="76">
        <f t="shared" si="39"/>
        <v>16369572.59</v>
      </c>
      <c r="T79" s="128"/>
      <c r="U79" s="128"/>
      <c r="V79" s="128"/>
      <c r="W79" s="135"/>
    </row>
    <row r="80" spans="2:23" ht="78" customHeight="1" x14ac:dyDescent="0.25">
      <c r="B80" s="107" t="s">
        <v>257</v>
      </c>
      <c r="C80" s="29" t="s">
        <v>258</v>
      </c>
      <c r="D80" s="107">
        <v>0</v>
      </c>
      <c r="E80" s="29">
        <v>0</v>
      </c>
      <c r="F80" s="107">
        <v>0</v>
      </c>
      <c r="G80" s="29">
        <f t="shared" ref="G80:S80" si="40">G81+G93+G96</f>
        <v>0</v>
      </c>
      <c r="H80" s="29">
        <f t="shared" si="40"/>
        <v>10719196.59</v>
      </c>
      <c r="I80" s="29">
        <f t="shared" si="40"/>
        <v>6555497.4300000006</v>
      </c>
      <c r="J80" s="29">
        <f t="shared" si="40"/>
        <v>6046902.2299999995</v>
      </c>
      <c r="K80" s="29">
        <f t="shared" si="40"/>
        <v>4896701.83</v>
      </c>
      <c r="L80" s="29">
        <f t="shared" si="40"/>
        <v>0</v>
      </c>
      <c r="M80" s="29">
        <f t="shared" si="40"/>
        <v>0</v>
      </c>
      <c r="N80" s="29">
        <f t="shared" si="40"/>
        <v>3628179.37</v>
      </c>
      <c r="O80" s="29">
        <f t="shared" si="40"/>
        <v>1961264.22</v>
      </c>
      <c r="P80" s="29">
        <f t="shared" si="40"/>
        <v>0</v>
      </c>
      <c r="Q80" s="29">
        <f t="shared" si="40"/>
        <v>0</v>
      </c>
      <c r="R80" s="29">
        <f t="shared" si="40"/>
        <v>20394278.190000001</v>
      </c>
      <c r="S80" s="29">
        <f t="shared" si="40"/>
        <v>13413463.479999999</v>
      </c>
      <c r="T80" s="128"/>
      <c r="U80" s="128"/>
      <c r="V80" s="128"/>
      <c r="W80" s="135"/>
    </row>
    <row r="81" spans="2:23" ht="76.5" x14ac:dyDescent="0.25">
      <c r="B81" s="60" t="s">
        <v>259</v>
      </c>
      <c r="C81" s="60" t="s">
        <v>260</v>
      </c>
      <c r="D81" s="60">
        <v>0</v>
      </c>
      <c r="E81" s="60">
        <v>0</v>
      </c>
      <c r="F81" s="60">
        <v>0</v>
      </c>
      <c r="G81" s="60">
        <v>0</v>
      </c>
      <c r="H81" s="60">
        <f>SUM(H82:H92)</f>
        <v>10048627.43</v>
      </c>
      <c r="I81" s="60">
        <f t="shared" ref="I81:S81" si="41">SUM(I82:I92)</f>
        <v>6050727.4300000006</v>
      </c>
      <c r="J81" s="60">
        <f t="shared" si="41"/>
        <v>1229574.68</v>
      </c>
      <c r="K81" s="60">
        <f t="shared" si="41"/>
        <v>823834.4</v>
      </c>
      <c r="L81" s="60">
        <f t="shared" si="41"/>
        <v>0</v>
      </c>
      <c r="M81" s="60">
        <f t="shared" si="41"/>
        <v>0</v>
      </c>
      <c r="N81" s="60">
        <f t="shared" si="41"/>
        <v>3628179.37</v>
      </c>
      <c r="O81" s="60">
        <f t="shared" si="41"/>
        <v>1961264.22</v>
      </c>
      <c r="P81" s="60">
        <f t="shared" si="41"/>
        <v>0</v>
      </c>
      <c r="Q81" s="60">
        <f t="shared" si="41"/>
        <v>0</v>
      </c>
      <c r="R81" s="60">
        <f t="shared" si="41"/>
        <v>14906381.48</v>
      </c>
      <c r="S81" s="60">
        <f t="shared" si="41"/>
        <v>8835826.0499999989</v>
      </c>
      <c r="T81" s="150" t="s">
        <v>1054</v>
      </c>
      <c r="U81" s="150">
        <v>8835826.0500000007</v>
      </c>
      <c r="V81" s="128">
        <f>U81-S81</f>
        <v>0</v>
      </c>
      <c r="W81" s="135"/>
    </row>
    <row r="82" spans="2:23" ht="51" hidden="1" x14ac:dyDescent="0.25">
      <c r="B82" s="85" t="s">
        <v>261</v>
      </c>
      <c r="C82" s="51" t="s">
        <v>262</v>
      </c>
      <c r="D82" s="59">
        <v>0</v>
      </c>
      <c r="E82" s="59">
        <v>0</v>
      </c>
      <c r="F82" s="59">
        <v>0</v>
      </c>
      <c r="G82" s="58">
        <v>0</v>
      </c>
      <c r="H82" s="58">
        <f>'2 lentelė'!L81</f>
        <v>1392800</v>
      </c>
      <c r="I82" s="58">
        <f>'2 lentelė'!Q81</f>
        <v>789008.78</v>
      </c>
      <c r="J82" s="58">
        <v>0</v>
      </c>
      <c r="K82" s="58">
        <v>0</v>
      </c>
      <c r="L82" s="58">
        <v>0</v>
      </c>
      <c r="M82" s="58">
        <v>0</v>
      </c>
      <c r="N82" s="58">
        <v>0</v>
      </c>
      <c r="O82" s="58">
        <v>0</v>
      </c>
      <c r="P82" s="58">
        <v>0</v>
      </c>
      <c r="Q82" s="58">
        <v>0</v>
      </c>
      <c r="R82" s="58">
        <f t="shared" ref="R82:S87" si="42">D82+F82+H82+J82+L82+N82+P82</f>
        <v>1392800</v>
      </c>
      <c r="S82" s="58">
        <f t="shared" si="42"/>
        <v>789008.78</v>
      </c>
      <c r="T82" s="128"/>
      <c r="U82" s="128"/>
      <c r="V82" s="128"/>
      <c r="W82" s="135"/>
    </row>
    <row r="83" spans="2:23" ht="63.75" hidden="1" x14ac:dyDescent="0.25">
      <c r="B83" s="85" t="s">
        <v>263</v>
      </c>
      <c r="C83" s="51" t="s">
        <v>264</v>
      </c>
      <c r="D83" s="59">
        <v>0</v>
      </c>
      <c r="E83" s="59">
        <v>0</v>
      </c>
      <c r="F83" s="59">
        <v>0</v>
      </c>
      <c r="G83" s="58">
        <v>0</v>
      </c>
      <c r="H83" s="58">
        <v>0</v>
      </c>
      <c r="I83" s="58">
        <v>0</v>
      </c>
      <c r="J83" s="58">
        <f>'2 lentelė'!L82</f>
        <v>1229574.68</v>
      </c>
      <c r="K83" s="58">
        <f>'2 lentelė'!Q82</f>
        <v>823834.4</v>
      </c>
      <c r="L83" s="58">
        <v>0</v>
      </c>
      <c r="M83" s="58">
        <v>0</v>
      </c>
      <c r="N83" s="58">
        <v>0</v>
      </c>
      <c r="O83" s="58">
        <v>0</v>
      </c>
      <c r="P83" s="58">
        <v>0</v>
      </c>
      <c r="Q83" s="58">
        <v>0</v>
      </c>
      <c r="R83" s="58">
        <f t="shared" si="42"/>
        <v>1229574.68</v>
      </c>
      <c r="S83" s="58">
        <f t="shared" si="42"/>
        <v>823834.4</v>
      </c>
      <c r="T83" s="128"/>
      <c r="U83" s="128"/>
      <c r="V83" s="128"/>
      <c r="W83" s="135"/>
    </row>
    <row r="84" spans="2:23" ht="45" hidden="1" customHeight="1" x14ac:dyDescent="0.25">
      <c r="B84" s="85" t="s">
        <v>265</v>
      </c>
      <c r="C84" s="51" t="s">
        <v>266</v>
      </c>
      <c r="D84" s="59">
        <v>0</v>
      </c>
      <c r="E84" s="59">
        <v>0</v>
      </c>
      <c r="F84" s="59">
        <v>0</v>
      </c>
      <c r="G84" s="58">
        <v>0</v>
      </c>
      <c r="H84" s="58">
        <f>'2 lentelė'!L83</f>
        <v>3752037.22</v>
      </c>
      <c r="I84" s="58">
        <f>'2 lentelė'!Q83</f>
        <v>1717232.99</v>
      </c>
      <c r="J84" s="58">
        <v>0</v>
      </c>
      <c r="K84" s="58">
        <v>0</v>
      </c>
      <c r="L84" s="58">
        <v>0</v>
      </c>
      <c r="M84" s="58">
        <v>0</v>
      </c>
      <c r="N84" s="58">
        <v>0</v>
      </c>
      <c r="O84" s="58">
        <v>0</v>
      </c>
      <c r="P84" s="58">
        <v>0</v>
      </c>
      <c r="Q84" s="58">
        <v>0</v>
      </c>
      <c r="R84" s="58">
        <f t="shared" si="42"/>
        <v>3752037.22</v>
      </c>
      <c r="S84" s="58">
        <f t="shared" si="42"/>
        <v>1717232.99</v>
      </c>
      <c r="T84" s="128"/>
      <c r="U84" s="128"/>
      <c r="V84" s="128"/>
      <c r="W84" s="135"/>
    </row>
    <row r="85" spans="2:23" ht="69" hidden="1" customHeight="1" x14ac:dyDescent="0.25">
      <c r="B85" s="85" t="s">
        <v>267</v>
      </c>
      <c r="C85" s="51" t="s">
        <v>268</v>
      </c>
      <c r="D85" s="59">
        <v>0</v>
      </c>
      <c r="E85" s="59">
        <v>0</v>
      </c>
      <c r="F85" s="59">
        <v>0</v>
      </c>
      <c r="G85" s="58">
        <v>0</v>
      </c>
      <c r="H85" s="58">
        <f>'2 lentelė'!L84</f>
        <v>1665450</v>
      </c>
      <c r="I85" s="58">
        <f>'2 lentelė'!Q84</f>
        <v>1110408</v>
      </c>
      <c r="J85" s="58">
        <v>0</v>
      </c>
      <c r="K85" s="58">
        <v>0</v>
      </c>
      <c r="L85" s="58">
        <v>0</v>
      </c>
      <c r="M85" s="58">
        <v>0</v>
      </c>
      <c r="N85" s="58">
        <v>0</v>
      </c>
      <c r="O85" s="58">
        <v>0</v>
      </c>
      <c r="P85" s="58">
        <v>0</v>
      </c>
      <c r="Q85" s="58">
        <v>0</v>
      </c>
      <c r="R85" s="58">
        <f t="shared" si="42"/>
        <v>1665450</v>
      </c>
      <c r="S85" s="58">
        <f t="shared" si="42"/>
        <v>1110408</v>
      </c>
      <c r="T85" s="128"/>
      <c r="U85" s="128"/>
      <c r="V85" s="128"/>
      <c r="W85" s="135"/>
    </row>
    <row r="86" spans="2:23" ht="63.75" hidden="1" x14ac:dyDescent="0.25">
      <c r="B86" s="85" t="s">
        <v>269</v>
      </c>
      <c r="C86" s="51" t="s">
        <v>270</v>
      </c>
      <c r="D86" s="59">
        <v>0</v>
      </c>
      <c r="E86" s="59">
        <v>0</v>
      </c>
      <c r="F86" s="59">
        <v>0</v>
      </c>
      <c r="G86" s="58">
        <v>0</v>
      </c>
      <c r="H86" s="58">
        <f>'2 lentelė'!L85</f>
        <v>1226741.69</v>
      </c>
      <c r="I86" s="58">
        <f>'2 lentelė'!Q85</f>
        <v>824798.84</v>
      </c>
      <c r="J86" s="58">
        <v>0</v>
      </c>
      <c r="K86" s="58">
        <v>0</v>
      </c>
      <c r="L86" s="58">
        <v>0</v>
      </c>
      <c r="M86" s="58">
        <v>0</v>
      </c>
      <c r="N86" s="58">
        <v>0</v>
      </c>
      <c r="O86" s="58">
        <v>0</v>
      </c>
      <c r="P86" s="58">
        <v>0</v>
      </c>
      <c r="Q86" s="58">
        <v>0</v>
      </c>
      <c r="R86" s="58">
        <f t="shared" si="42"/>
        <v>1226741.69</v>
      </c>
      <c r="S86" s="58">
        <f t="shared" si="42"/>
        <v>824798.84</v>
      </c>
      <c r="T86" s="128"/>
      <c r="U86" s="128"/>
      <c r="V86" s="128"/>
      <c r="W86" s="135"/>
    </row>
    <row r="87" spans="2:23" ht="69" hidden="1" customHeight="1" x14ac:dyDescent="0.25">
      <c r="B87" s="85" t="s">
        <v>271</v>
      </c>
      <c r="C87" s="51" t="s">
        <v>953</v>
      </c>
      <c r="D87" s="59">
        <v>0</v>
      </c>
      <c r="E87" s="59">
        <v>0</v>
      </c>
      <c r="F87" s="59">
        <v>0</v>
      </c>
      <c r="G87" s="58">
        <v>0</v>
      </c>
      <c r="H87" s="58">
        <f>'2 lentelė'!L86</f>
        <v>2011598.52</v>
      </c>
      <c r="I87" s="61">
        <f>'2 lentelė'!Q86</f>
        <v>1609278.82</v>
      </c>
      <c r="J87" s="58">
        <v>0</v>
      </c>
      <c r="K87" s="58">
        <v>0</v>
      </c>
      <c r="L87" s="58">
        <v>0</v>
      </c>
      <c r="M87" s="58">
        <v>0</v>
      </c>
      <c r="N87" s="58">
        <v>0</v>
      </c>
      <c r="O87" s="58">
        <v>0</v>
      </c>
      <c r="P87" s="58">
        <v>0</v>
      </c>
      <c r="Q87" s="58">
        <v>0</v>
      </c>
      <c r="R87" s="58">
        <f t="shared" si="42"/>
        <v>2011598.52</v>
      </c>
      <c r="S87" s="58">
        <f t="shared" si="42"/>
        <v>1609278.82</v>
      </c>
      <c r="T87" s="128"/>
      <c r="U87" s="128"/>
      <c r="V87" s="128"/>
      <c r="W87" s="135"/>
    </row>
    <row r="88" spans="2:23" ht="75.75" hidden="1" customHeight="1" x14ac:dyDescent="0.25">
      <c r="B88" s="51" t="s">
        <v>954</v>
      </c>
      <c r="C88" s="42" t="s">
        <v>956</v>
      </c>
      <c r="D88" s="59">
        <v>0</v>
      </c>
      <c r="E88" s="59">
        <v>0</v>
      </c>
      <c r="F88" s="59">
        <v>0</v>
      </c>
      <c r="G88" s="59">
        <v>0</v>
      </c>
      <c r="H88" s="59">
        <v>0</v>
      </c>
      <c r="I88" s="59">
        <v>0</v>
      </c>
      <c r="J88" s="59">
        <v>0</v>
      </c>
      <c r="K88" s="59">
        <v>0</v>
      </c>
      <c r="L88" s="59">
        <v>0</v>
      </c>
      <c r="M88" s="59">
        <v>0</v>
      </c>
      <c r="N88" s="51">
        <v>338000</v>
      </c>
      <c r="O88" s="58">
        <v>169000</v>
      </c>
      <c r="P88" s="59">
        <v>0</v>
      </c>
      <c r="Q88" s="59">
        <v>0</v>
      </c>
      <c r="R88" s="58">
        <f t="shared" ref="R88:R90" si="43">D88+F88+H88+J88+L88+N88+P88</f>
        <v>338000</v>
      </c>
      <c r="S88" s="58">
        <f t="shared" ref="S88:S90" si="44">E88+G88+I88+K88+M88+O88+Q88</f>
        <v>169000</v>
      </c>
      <c r="T88" s="128"/>
      <c r="U88" s="128"/>
      <c r="V88" s="128"/>
      <c r="W88" s="135"/>
    </row>
    <row r="89" spans="2:23" ht="69" hidden="1" customHeight="1" x14ac:dyDescent="0.25">
      <c r="B89" s="51" t="s">
        <v>958</v>
      </c>
      <c r="C89" s="42" t="s">
        <v>960</v>
      </c>
      <c r="D89" s="59">
        <v>0</v>
      </c>
      <c r="E89" s="59">
        <v>0</v>
      </c>
      <c r="F89" s="59">
        <v>0</v>
      </c>
      <c r="G89" s="59">
        <v>0</v>
      </c>
      <c r="H89" s="59">
        <v>0</v>
      </c>
      <c r="I89" s="59">
        <v>0</v>
      </c>
      <c r="J89" s="59">
        <v>0</v>
      </c>
      <c r="K89" s="59">
        <v>0</v>
      </c>
      <c r="L89" s="59">
        <v>0</v>
      </c>
      <c r="M89" s="59">
        <v>0</v>
      </c>
      <c r="N89" s="51">
        <v>718750</v>
      </c>
      <c r="O89" s="58">
        <v>575000</v>
      </c>
      <c r="P89" s="59">
        <v>0</v>
      </c>
      <c r="Q89" s="59">
        <v>0</v>
      </c>
      <c r="R89" s="58">
        <f t="shared" si="43"/>
        <v>718750</v>
      </c>
      <c r="S89" s="58">
        <f t="shared" si="44"/>
        <v>575000</v>
      </c>
      <c r="T89" s="128"/>
      <c r="U89" s="128"/>
      <c r="V89" s="128"/>
      <c r="W89" s="135"/>
    </row>
    <row r="90" spans="2:23" ht="78" hidden="1" customHeight="1" x14ac:dyDescent="0.25">
      <c r="B90" s="51" t="s">
        <v>961</v>
      </c>
      <c r="C90" s="42" t="s">
        <v>963</v>
      </c>
      <c r="D90" s="59">
        <v>0</v>
      </c>
      <c r="E90" s="59">
        <v>0</v>
      </c>
      <c r="F90" s="59">
        <v>0</v>
      </c>
      <c r="G90" s="59">
        <v>0</v>
      </c>
      <c r="H90" s="59">
        <v>0</v>
      </c>
      <c r="I90" s="59">
        <v>0</v>
      </c>
      <c r="J90" s="59">
        <v>0</v>
      </c>
      <c r="K90" s="59">
        <v>0</v>
      </c>
      <c r="L90" s="59">
        <v>0</v>
      </c>
      <c r="M90" s="59">
        <v>0</v>
      </c>
      <c r="N90" s="62">
        <f>'2 lentelė'!L89</f>
        <v>1193327.6499999999</v>
      </c>
      <c r="O90" s="58">
        <f>'2 lentelė'!Q89</f>
        <v>528530.03</v>
      </c>
      <c r="P90" s="59">
        <v>0</v>
      </c>
      <c r="Q90" s="59">
        <v>0</v>
      </c>
      <c r="R90" s="58">
        <f t="shared" si="43"/>
        <v>1193327.6499999999</v>
      </c>
      <c r="S90" s="58">
        <f t="shared" si="44"/>
        <v>528530.03</v>
      </c>
      <c r="T90" s="128"/>
      <c r="U90" s="128"/>
      <c r="V90" s="128"/>
      <c r="W90" s="135"/>
    </row>
    <row r="91" spans="2:23" ht="78" hidden="1" customHeight="1" x14ac:dyDescent="0.25">
      <c r="B91" s="51" t="s">
        <v>965</v>
      </c>
      <c r="C91" s="42" t="s">
        <v>964</v>
      </c>
      <c r="D91" s="59">
        <v>0</v>
      </c>
      <c r="E91" s="59">
        <v>0</v>
      </c>
      <c r="F91" s="59">
        <v>0</v>
      </c>
      <c r="G91" s="59">
        <v>0</v>
      </c>
      <c r="H91" s="59">
        <v>0</v>
      </c>
      <c r="I91" s="59">
        <v>0</v>
      </c>
      <c r="J91" s="59">
        <v>0</v>
      </c>
      <c r="K91" s="59">
        <v>0</v>
      </c>
      <c r="L91" s="59">
        <v>0</v>
      </c>
      <c r="M91" s="59">
        <v>0</v>
      </c>
      <c r="N91" s="62">
        <v>750000</v>
      </c>
      <c r="O91" s="58">
        <v>375000</v>
      </c>
      <c r="P91" s="59">
        <v>0</v>
      </c>
      <c r="Q91" s="59">
        <v>0</v>
      </c>
      <c r="R91" s="58">
        <f t="shared" ref="R91:R92" si="45">D91+F91+H91+J91+L91+N91+P91</f>
        <v>750000</v>
      </c>
      <c r="S91" s="58">
        <f t="shared" ref="S91:S92" si="46">E91+G91+I91+K91+M91+O91+Q91</f>
        <v>375000</v>
      </c>
      <c r="T91" s="128"/>
      <c r="U91" s="128"/>
      <c r="V91" s="128"/>
      <c r="W91" s="135"/>
    </row>
    <row r="92" spans="2:23" ht="78" hidden="1" customHeight="1" x14ac:dyDescent="0.25">
      <c r="B92" s="51" t="s">
        <v>1023</v>
      </c>
      <c r="C92" s="42" t="s">
        <v>1025</v>
      </c>
      <c r="D92" s="59">
        <v>0</v>
      </c>
      <c r="E92" s="59">
        <v>0</v>
      </c>
      <c r="F92" s="59">
        <v>0</v>
      </c>
      <c r="G92" s="59">
        <v>0</v>
      </c>
      <c r="H92" s="59">
        <v>0</v>
      </c>
      <c r="I92" s="59">
        <v>0</v>
      </c>
      <c r="J92" s="59">
        <v>0</v>
      </c>
      <c r="K92" s="59">
        <v>0</v>
      </c>
      <c r="L92" s="59">
        <v>0</v>
      </c>
      <c r="M92" s="59">
        <v>0</v>
      </c>
      <c r="N92" s="62">
        <f>'2 lentelė'!L91</f>
        <v>628101.72</v>
      </c>
      <c r="O92" s="58">
        <f>'2 lentelė'!Q91</f>
        <v>313734.19</v>
      </c>
      <c r="P92" s="59">
        <v>0</v>
      </c>
      <c r="Q92" s="59">
        <v>0</v>
      </c>
      <c r="R92" s="58">
        <f t="shared" si="45"/>
        <v>628101.72</v>
      </c>
      <c r="S92" s="58">
        <f t="shared" si="46"/>
        <v>313734.19</v>
      </c>
      <c r="T92" s="128"/>
      <c r="U92" s="128"/>
      <c r="V92" s="128"/>
      <c r="W92" s="135"/>
    </row>
    <row r="93" spans="2:23" ht="38.25" x14ac:dyDescent="0.25">
      <c r="B93" s="60" t="s">
        <v>272</v>
      </c>
      <c r="C93" s="60" t="s">
        <v>273</v>
      </c>
      <c r="D93" s="60">
        <v>0</v>
      </c>
      <c r="E93" s="60">
        <v>0</v>
      </c>
      <c r="F93" s="60">
        <v>0</v>
      </c>
      <c r="G93" s="60">
        <v>0</v>
      </c>
      <c r="H93" s="60">
        <f t="shared" ref="H93:Q93" si="47">SUM(H94:H95)</f>
        <v>0</v>
      </c>
      <c r="I93" s="60">
        <f t="shared" si="47"/>
        <v>0</v>
      </c>
      <c r="J93" s="60">
        <f>SUM(J94:J95)</f>
        <v>2053631.87</v>
      </c>
      <c r="K93" s="60">
        <f t="shared" si="47"/>
        <v>1745587.0899999999</v>
      </c>
      <c r="L93" s="60">
        <f t="shared" si="47"/>
        <v>0</v>
      </c>
      <c r="M93" s="60">
        <f t="shared" si="47"/>
        <v>0</v>
      </c>
      <c r="N93" s="60">
        <f t="shared" si="47"/>
        <v>0</v>
      </c>
      <c r="O93" s="60">
        <f t="shared" si="47"/>
        <v>0</v>
      </c>
      <c r="P93" s="60">
        <f t="shared" si="47"/>
        <v>0</v>
      </c>
      <c r="Q93" s="60">
        <f t="shared" si="47"/>
        <v>0</v>
      </c>
      <c r="R93" s="60">
        <f>SUM(R94:R95)</f>
        <v>2053631.87</v>
      </c>
      <c r="S93" s="60">
        <f>S94+S95</f>
        <v>1745587.0899999999</v>
      </c>
      <c r="T93" s="150" t="s">
        <v>1055</v>
      </c>
      <c r="U93" s="128">
        <v>1767304.13</v>
      </c>
      <c r="V93" s="128">
        <f>U93-S93</f>
        <v>21717.040000000037</v>
      </c>
      <c r="W93" s="135"/>
    </row>
    <row r="94" spans="2:23" ht="76.5" hidden="1" x14ac:dyDescent="0.25">
      <c r="B94" s="85" t="s">
        <v>274</v>
      </c>
      <c r="C94" s="51" t="s">
        <v>275</v>
      </c>
      <c r="D94" s="59">
        <v>0</v>
      </c>
      <c r="E94" s="59">
        <v>0</v>
      </c>
      <c r="F94" s="59">
        <v>0</v>
      </c>
      <c r="G94" s="58">
        <v>0</v>
      </c>
      <c r="H94" s="58">
        <v>0</v>
      </c>
      <c r="I94" s="58">
        <v>0</v>
      </c>
      <c r="J94" s="58">
        <f>'2 lentelė'!L93</f>
        <v>1018412.87</v>
      </c>
      <c r="K94" s="58">
        <f>'2 lentelė'!Q93</f>
        <v>865650.94</v>
      </c>
      <c r="L94" s="58">
        <v>0</v>
      </c>
      <c r="M94" s="58">
        <v>0</v>
      </c>
      <c r="N94" s="58">
        <v>0</v>
      </c>
      <c r="O94" s="58">
        <v>0</v>
      </c>
      <c r="P94" s="58">
        <v>0</v>
      </c>
      <c r="Q94" s="58">
        <v>0</v>
      </c>
      <c r="R94" s="58">
        <f>D94+F94+H94+J94+L94+N94+P94</f>
        <v>1018412.87</v>
      </c>
      <c r="S94" s="58">
        <f>E94+G94+I94+K94+M94+O94+Q94</f>
        <v>865650.94</v>
      </c>
      <c r="T94" s="128"/>
      <c r="U94" s="128"/>
      <c r="V94" s="128"/>
      <c r="W94" s="135"/>
    </row>
    <row r="95" spans="2:23" ht="76.5" hidden="1" x14ac:dyDescent="0.25">
      <c r="B95" s="85" t="s">
        <v>276</v>
      </c>
      <c r="C95" s="51" t="s">
        <v>277</v>
      </c>
      <c r="D95" s="59">
        <v>0</v>
      </c>
      <c r="E95" s="59">
        <v>0</v>
      </c>
      <c r="F95" s="59">
        <v>0</v>
      </c>
      <c r="G95" s="58">
        <v>0</v>
      </c>
      <c r="H95" s="58">
        <v>0</v>
      </c>
      <c r="I95" s="58">
        <v>0</v>
      </c>
      <c r="J95" s="58">
        <f>'2 lentelė'!L94</f>
        <v>1035219</v>
      </c>
      <c r="K95" s="58">
        <f>'2 lentelė'!Q94</f>
        <v>879936.15</v>
      </c>
      <c r="L95" s="58">
        <v>0</v>
      </c>
      <c r="M95" s="58">
        <v>0</v>
      </c>
      <c r="N95" s="58">
        <v>0</v>
      </c>
      <c r="O95" s="58">
        <v>0</v>
      </c>
      <c r="P95" s="58">
        <v>0</v>
      </c>
      <c r="Q95" s="58">
        <v>0</v>
      </c>
      <c r="R95" s="58">
        <f>D95+F95+H95+J95+L95+N95+P95</f>
        <v>1035219</v>
      </c>
      <c r="S95" s="58">
        <f>E95+G95+I95+K95+M95+O95+Q95</f>
        <v>879936.15</v>
      </c>
      <c r="T95" s="128"/>
      <c r="U95" s="128"/>
      <c r="V95" s="128"/>
      <c r="W95" s="135"/>
    </row>
    <row r="96" spans="2:23" ht="38.25" x14ac:dyDescent="0.25">
      <c r="B96" s="60" t="s">
        <v>278</v>
      </c>
      <c r="C96" s="60" t="s">
        <v>279</v>
      </c>
      <c r="D96" s="60">
        <v>0</v>
      </c>
      <c r="E96" s="60">
        <v>0</v>
      </c>
      <c r="F96" s="60">
        <v>0</v>
      </c>
      <c r="G96" s="60">
        <v>0</v>
      </c>
      <c r="H96" s="60">
        <f t="shared" ref="H96:S96" si="48">SUM(H97:H102)</f>
        <v>670569.16</v>
      </c>
      <c r="I96" s="60">
        <f t="shared" si="48"/>
        <v>504770</v>
      </c>
      <c r="J96" s="60">
        <f t="shared" si="48"/>
        <v>2763695.6799999997</v>
      </c>
      <c r="K96" s="60">
        <f t="shared" si="48"/>
        <v>2327280.34</v>
      </c>
      <c r="L96" s="60">
        <f t="shared" si="48"/>
        <v>0</v>
      </c>
      <c r="M96" s="60">
        <f t="shared" si="48"/>
        <v>0</v>
      </c>
      <c r="N96" s="60">
        <f t="shared" si="48"/>
        <v>0</v>
      </c>
      <c r="O96" s="60">
        <f t="shared" si="48"/>
        <v>0</v>
      </c>
      <c r="P96" s="60">
        <f t="shared" si="48"/>
        <v>0</v>
      </c>
      <c r="Q96" s="60">
        <f t="shared" si="48"/>
        <v>0</v>
      </c>
      <c r="R96" s="60">
        <f>SUM(R97:R102)</f>
        <v>3434264.84</v>
      </c>
      <c r="S96" s="60">
        <f t="shared" si="48"/>
        <v>2832050.34</v>
      </c>
      <c r="T96" s="150" t="s">
        <v>1056</v>
      </c>
      <c r="U96" s="128">
        <v>2832120.44</v>
      </c>
      <c r="V96" s="128">
        <f>U96-S96</f>
        <v>70.100000000093132</v>
      </c>
      <c r="W96" s="135"/>
    </row>
    <row r="97" spans="2:23" ht="51" hidden="1" x14ac:dyDescent="0.25">
      <c r="B97" s="85" t="s">
        <v>280</v>
      </c>
      <c r="C97" s="51" t="s">
        <v>281</v>
      </c>
      <c r="D97" s="59">
        <v>0</v>
      </c>
      <c r="E97" s="59">
        <v>0</v>
      </c>
      <c r="F97" s="59">
        <v>0</v>
      </c>
      <c r="G97" s="58">
        <v>0</v>
      </c>
      <c r="H97" s="58">
        <f>'2 lentelė'!L96</f>
        <v>670569.16</v>
      </c>
      <c r="I97" s="58">
        <f>'2 lentelė'!Q96</f>
        <v>504770</v>
      </c>
      <c r="J97" s="58">
        <v>0</v>
      </c>
      <c r="K97" s="58">
        <v>0</v>
      </c>
      <c r="L97" s="58">
        <v>0</v>
      </c>
      <c r="M97" s="58">
        <v>0</v>
      </c>
      <c r="N97" s="58">
        <v>0</v>
      </c>
      <c r="O97" s="58">
        <v>0</v>
      </c>
      <c r="P97" s="58">
        <v>0</v>
      </c>
      <c r="Q97" s="58">
        <v>0</v>
      </c>
      <c r="R97" s="58">
        <f t="shared" ref="R97:S102" si="49">D97+F97+H97+J97+L97+N97+P97</f>
        <v>670569.16</v>
      </c>
      <c r="S97" s="58">
        <f t="shared" si="49"/>
        <v>504770</v>
      </c>
      <c r="T97" s="128"/>
      <c r="U97" s="128"/>
      <c r="V97" s="128"/>
      <c r="W97" s="135"/>
    </row>
    <row r="98" spans="2:23" ht="102" hidden="1" x14ac:dyDescent="0.25">
      <c r="B98" s="85" t="s">
        <v>282</v>
      </c>
      <c r="C98" s="51" t="s">
        <v>283</v>
      </c>
      <c r="D98" s="59">
        <v>0</v>
      </c>
      <c r="E98" s="59">
        <v>0</v>
      </c>
      <c r="F98" s="59">
        <v>0</v>
      </c>
      <c r="G98" s="58">
        <v>0</v>
      </c>
      <c r="H98" s="58">
        <v>0</v>
      </c>
      <c r="I98" s="58">
        <v>0</v>
      </c>
      <c r="J98" s="58">
        <f>'2 lentelė'!L97</f>
        <v>400317.65</v>
      </c>
      <c r="K98" s="58">
        <f>'2 lentelė'!Q97</f>
        <v>340270</v>
      </c>
      <c r="L98" s="58">
        <v>0</v>
      </c>
      <c r="M98" s="58">
        <v>0</v>
      </c>
      <c r="N98" s="58">
        <v>0</v>
      </c>
      <c r="O98" s="58">
        <v>0</v>
      </c>
      <c r="P98" s="58">
        <v>0</v>
      </c>
      <c r="Q98" s="58">
        <v>0</v>
      </c>
      <c r="R98" s="58">
        <f t="shared" si="49"/>
        <v>400317.65</v>
      </c>
      <c r="S98" s="58">
        <f t="shared" si="49"/>
        <v>340270</v>
      </c>
      <c r="T98" s="128"/>
      <c r="U98" s="128"/>
      <c r="V98" s="128"/>
      <c r="W98" s="135"/>
    </row>
    <row r="99" spans="2:23" ht="63.75" hidden="1" x14ac:dyDescent="0.25">
      <c r="B99" s="85" t="s">
        <v>284</v>
      </c>
      <c r="C99" s="51" t="s">
        <v>285</v>
      </c>
      <c r="D99" s="59">
        <v>0</v>
      </c>
      <c r="E99" s="59">
        <v>0</v>
      </c>
      <c r="F99" s="59">
        <v>0</v>
      </c>
      <c r="G99" s="58">
        <v>0</v>
      </c>
      <c r="H99" s="58">
        <v>0</v>
      </c>
      <c r="I99" s="58">
        <v>0</v>
      </c>
      <c r="J99" s="58">
        <f>'2 lentelė'!L98</f>
        <v>610906</v>
      </c>
      <c r="K99" s="58">
        <f>'2 lentelė'!Q98</f>
        <v>519270</v>
      </c>
      <c r="L99" s="58">
        <v>0</v>
      </c>
      <c r="M99" s="58">
        <v>0</v>
      </c>
      <c r="N99" s="58">
        <v>0</v>
      </c>
      <c r="O99" s="58">
        <v>0</v>
      </c>
      <c r="P99" s="58">
        <v>0</v>
      </c>
      <c r="Q99" s="58">
        <v>0</v>
      </c>
      <c r="R99" s="58">
        <f t="shared" si="49"/>
        <v>610906</v>
      </c>
      <c r="S99" s="58">
        <f t="shared" si="49"/>
        <v>519270</v>
      </c>
      <c r="T99" s="128"/>
      <c r="U99" s="128"/>
      <c r="V99" s="128"/>
      <c r="W99" s="135"/>
    </row>
    <row r="100" spans="2:23" ht="51" hidden="1" x14ac:dyDescent="0.25">
      <c r="B100" s="85" t="s">
        <v>286</v>
      </c>
      <c r="C100" s="51" t="s">
        <v>287</v>
      </c>
      <c r="D100" s="59">
        <v>0</v>
      </c>
      <c r="E100" s="59">
        <v>0</v>
      </c>
      <c r="F100" s="59">
        <v>0</v>
      </c>
      <c r="G100" s="58">
        <v>0</v>
      </c>
      <c r="H100" s="58">
        <v>0</v>
      </c>
      <c r="I100" s="58">
        <v>0</v>
      </c>
      <c r="J100" s="58">
        <f>'2 lentelė'!L99</f>
        <v>566036.31999999995</v>
      </c>
      <c r="K100" s="58">
        <f>'2 lentelė'!Q99</f>
        <v>459270</v>
      </c>
      <c r="L100" s="58">
        <v>0</v>
      </c>
      <c r="M100" s="58">
        <v>0</v>
      </c>
      <c r="N100" s="58">
        <v>0</v>
      </c>
      <c r="O100" s="58">
        <v>0</v>
      </c>
      <c r="P100" s="58">
        <v>0</v>
      </c>
      <c r="Q100" s="58">
        <v>0</v>
      </c>
      <c r="R100" s="58">
        <f>D100+F100+H100+J100+L100+N100+P100</f>
        <v>566036.31999999995</v>
      </c>
      <c r="S100" s="58">
        <f t="shared" si="49"/>
        <v>459270</v>
      </c>
      <c r="T100" s="128"/>
      <c r="U100" s="128"/>
      <c r="V100" s="128"/>
      <c r="W100" s="135"/>
    </row>
    <row r="101" spans="2:23" ht="51" hidden="1" x14ac:dyDescent="0.25">
      <c r="B101" s="85" t="s">
        <v>288</v>
      </c>
      <c r="C101" s="51" t="s">
        <v>289</v>
      </c>
      <c r="D101" s="59">
        <v>0</v>
      </c>
      <c r="E101" s="59">
        <v>0</v>
      </c>
      <c r="F101" s="59">
        <v>0</v>
      </c>
      <c r="G101" s="58">
        <v>0</v>
      </c>
      <c r="H101" s="58">
        <v>0</v>
      </c>
      <c r="I101" s="58">
        <v>0</v>
      </c>
      <c r="J101" s="58">
        <f>'2 lentelė'!L100</f>
        <v>569725.67999999993</v>
      </c>
      <c r="K101" s="58">
        <f>'2 lentelė'!Q100</f>
        <v>484266.82</v>
      </c>
      <c r="L101" s="58">
        <v>0</v>
      </c>
      <c r="M101" s="58">
        <v>0</v>
      </c>
      <c r="N101" s="58">
        <v>0</v>
      </c>
      <c r="O101" s="58">
        <v>0</v>
      </c>
      <c r="P101" s="58">
        <v>0</v>
      </c>
      <c r="Q101" s="58">
        <v>0</v>
      </c>
      <c r="R101" s="58">
        <f t="shared" si="49"/>
        <v>569725.67999999993</v>
      </c>
      <c r="S101" s="58">
        <f t="shared" si="49"/>
        <v>484266.82</v>
      </c>
      <c r="T101" s="128"/>
      <c r="U101" s="128"/>
      <c r="V101" s="128"/>
      <c r="W101" s="135"/>
    </row>
    <row r="102" spans="2:23" ht="51" hidden="1" x14ac:dyDescent="0.25">
      <c r="B102" s="85" t="s">
        <v>290</v>
      </c>
      <c r="C102" s="51" t="s">
        <v>291</v>
      </c>
      <c r="D102" s="59">
        <v>0</v>
      </c>
      <c r="E102" s="59">
        <v>0</v>
      </c>
      <c r="F102" s="59">
        <v>0</v>
      </c>
      <c r="G102" s="58">
        <v>0</v>
      </c>
      <c r="H102" s="58">
        <v>0</v>
      </c>
      <c r="I102" s="58">
        <v>0</v>
      </c>
      <c r="J102" s="58">
        <f>'2 lentelė'!L101</f>
        <v>616710.03</v>
      </c>
      <c r="K102" s="58">
        <f>'2 lentelė'!Q101</f>
        <v>524203.52000000002</v>
      </c>
      <c r="L102" s="58">
        <v>0</v>
      </c>
      <c r="M102" s="58">
        <v>0</v>
      </c>
      <c r="N102" s="58">
        <v>0</v>
      </c>
      <c r="O102" s="58">
        <v>0</v>
      </c>
      <c r="P102" s="58">
        <v>0</v>
      </c>
      <c r="Q102" s="58">
        <v>0</v>
      </c>
      <c r="R102" s="58">
        <f t="shared" si="49"/>
        <v>616710.03</v>
      </c>
      <c r="S102" s="58">
        <f t="shared" si="49"/>
        <v>524203.52000000002</v>
      </c>
      <c r="T102" s="128"/>
      <c r="U102" s="128"/>
      <c r="V102" s="128"/>
      <c r="W102" s="135"/>
    </row>
    <row r="103" spans="2:23" ht="51" x14ac:dyDescent="0.25">
      <c r="B103" s="107" t="s">
        <v>293</v>
      </c>
      <c r="C103" s="29" t="s">
        <v>294</v>
      </c>
      <c r="D103" s="29">
        <v>0</v>
      </c>
      <c r="E103" s="29">
        <v>0</v>
      </c>
      <c r="F103" s="29">
        <v>0</v>
      </c>
      <c r="G103" s="29">
        <v>0</v>
      </c>
      <c r="H103" s="29">
        <f>SUM(H104)</f>
        <v>238835.47</v>
      </c>
      <c r="I103" s="29">
        <f t="shared" ref="I103:S103" si="50">SUM(I104)</f>
        <v>203010.14</v>
      </c>
      <c r="J103" s="29">
        <f>SUM(J104)</f>
        <v>1618671.6099999999</v>
      </c>
      <c r="K103" s="29">
        <f>SUM(K104)</f>
        <v>1375870.84</v>
      </c>
      <c r="L103" s="29">
        <f t="shared" si="50"/>
        <v>464586.27</v>
      </c>
      <c r="M103" s="29">
        <f t="shared" si="50"/>
        <v>358057.13</v>
      </c>
      <c r="N103" s="29">
        <f t="shared" si="50"/>
        <v>647203.71</v>
      </c>
      <c r="O103" s="29">
        <f t="shared" si="50"/>
        <v>519171</v>
      </c>
      <c r="P103" s="29">
        <f t="shared" si="50"/>
        <v>588235.30000000005</v>
      </c>
      <c r="Q103" s="29">
        <f t="shared" si="50"/>
        <v>500000</v>
      </c>
      <c r="R103" s="29">
        <f t="shared" si="50"/>
        <v>3557532.3600000003</v>
      </c>
      <c r="S103" s="29">
        <f t="shared" si="50"/>
        <v>2956109.1100000003</v>
      </c>
      <c r="T103" s="129"/>
      <c r="U103" s="129"/>
      <c r="V103" s="128"/>
      <c r="W103" s="135"/>
    </row>
    <row r="104" spans="2:23" ht="45" customHeight="1" x14ac:dyDescent="0.25">
      <c r="B104" s="60" t="s">
        <v>295</v>
      </c>
      <c r="C104" s="60" t="s">
        <v>296</v>
      </c>
      <c r="D104" s="60">
        <v>0</v>
      </c>
      <c r="E104" s="60">
        <v>0</v>
      </c>
      <c r="F104" s="60">
        <v>0</v>
      </c>
      <c r="G104" s="60">
        <v>0</v>
      </c>
      <c r="H104" s="60">
        <f>SUM(H106:H109)</f>
        <v>238835.47</v>
      </c>
      <c r="I104" s="60">
        <f>SUM(I106:I109)</f>
        <v>203010.14</v>
      </c>
      <c r="J104" s="60">
        <f t="shared" ref="J104:S104" si="51">SUM(J105:J112)+SUM(J113:J114)</f>
        <v>1618671.6099999999</v>
      </c>
      <c r="K104" s="60">
        <f t="shared" si="51"/>
        <v>1375870.84</v>
      </c>
      <c r="L104" s="60">
        <f t="shared" si="51"/>
        <v>464586.27</v>
      </c>
      <c r="M104" s="60">
        <f t="shared" si="51"/>
        <v>358057.13</v>
      </c>
      <c r="N104" s="60">
        <f t="shared" si="51"/>
        <v>647203.71</v>
      </c>
      <c r="O104" s="60">
        <f t="shared" si="51"/>
        <v>519171</v>
      </c>
      <c r="P104" s="60">
        <f t="shared" si="51"/>
        <v>588235.30000000005</v>
      </c>
      <c r="Q104" s="60">
        <f t="shared" si="51"/>
        <v>500000</v>
      </c>
      <c r="R104" s="60">
        <f t="shared" si="51"/>
        <v>3557532.3600000003</v>
      </c>
      <c r="S104" s="60">
        <f t="shared" si="51"/>
        <v>2956109.1100000003</v>
      </c>
      <c r="T104" s="153" t="s">
        <v>1057</v>
      </c>
      <c r="U104" s="129">
        <v>2995847</v>
      </c>
      <c r="V104" s="154">
        <f>U104-S104</f>
        <v>39737.889999999665</v>
      </c>
      <c r="W104" s="135"/>
    </row>
    <row r="105" spans="2:23" s="95" customFormat="1" ht="38.25" hidden="1" x14ac:dyDescent="0.25">
      <c r="B105" s="85" t="s">
        <v>297</v>
      </c>
      <c r="C105" s="51" t="s">
        <v>298</v>
      </c>
      <c r="D105" s="51">
        <v>0</v>
      </c>
      <c r="E105" s="51">
        <v>0</v>
      </c>
      <c r="F105" s="51">
        <v>0</v>
      </c>
      <c r="G105" s="85">
        <v>0</v>
      </c>
      <c r="H105" s="85">
        <v>0</v>
      </c>
      <c r="I105" s="85">
        <v>0</v>
      </c>
      <c r="J105" s="85">
        <v>0</v>
      </c>
      <c r="K105" s="85">
        <v>0</v>
      </c>
      <c r="L105" s="85">
        <v>0</v>
      </c>
      <c r="M105" s="85">
        <v>0</v>
      </c>
      <c r="N105" s="85">
        <f>'2 lentelė'!L103</f>
        <v>77618.78</v>
      </c>
      <c r="O105" s="85">
        <f>'2 lentelė'!Q103</f>
        <v>65975.960000000006</v>
      </c>
      <c r="P105" s="85">
        <v>0</v>
      </c>
      <c r="Q105" s="85">
        <v>0</v>
      </c>
      <c r="R105" s="85">
        <f>D105+F105+H105+J105+L105+N105+P105</f>
        <v>77618.78</v>
      </c>
      <c r="S105" s="85">
        <f>E105+G105+I105+K105+M105+O105+Q105</f>
        <v>65975.960000000006</v>
      </c>
      <c r="T105" s="129"/>
      <c r="U105" s="129"/>
      <c r="V105" s="128"/>
      <c r="W105" s="128"/>
    </row>
    <row r="106" spans="2:23" ht="63.75" hidden="1" x14ac:dyDescent="0.25">
      <c r="B106" s="85" t="s">
        <v>299</v>
      </c>
      <c r="C106" s="51" t="s">
        <v>300</v>
      </c>
      <c r="D106" s="59">
        <v>0</v>
      </c>
      <c r="E106" s="59">
        <v>0</v>
      </c>
      <c r="F106" s="59">
        <v>0</v>
      </c>
      <c r="G106" s="58">
        <v>0</v>
      </c>
      <c r="H106" s="58">
        <v>0</v>
      </c>
      <c r="I106" s="58">
        <v>0</v>
      </c>
      <c r="J106" s="58">
        <f>'2 lentelė'!L104</f>
        <v>383205.9</v>
      </c>
      <c r="K106" s="58">
        <f>'2 lentelė'!Q104</f>
        <v>325725</v>
      </c>
      <c r="L106" s="58">
        <v>0</v>
      </c>
      <c r="M106" s="58">
        <v>0</v>
      </c>
      <c r="N106" s="58">
        <v>0</v>
      </c>
      <c r="O106" s="58">
        <v>0</v>
      </c>
      <c r="P106" s="58">
        <v>0</v>
      </c>
      <c r="Q106" s="58">
        <v>0</v>
      </c>
      <c r="R106" s="58">
        <f t="shared" ref="R106:S114" si="52">D106+F106+H106+J106+L106+N106+P106</f>
        <v>383205.9</v>
      </c>
      <c r="S106" s="58">
        <f t="shared" si="52"/>
        <v>325725</v>
      </c>
      <c r="T106" s="129"/>
      <c r="U106" s="129"/>
      <c r="V106" s="128"/>
      <c r="W106" s="135"/>
    </row>
    <row r="107" spans="2:23" ht="51" hidden="1" x14ac:dyDescent="0.25">
      <c r="B107" s="85" t="s">
        <v>301</v>
      </c>
      <c r="C107" s="51" t="s">
        <v>302</v>
      </c>
      <c r="D107" s="59">
        <v>0</v>
      </c>
      <c r="E107" s="59">
        <v>0</v>
      </c>
      <c r="F107" s="59">
        <v>0</v>
      </c>
      <c r="G107" s="58">
        <v>0</v>
      </c>
      <c r="H107" s="58">
        <v>0</v>
      </c>
      <c r="I107" s="58">
        <v>0</v>
      </c>
      <c r="J107" s="58">
        <f>'2 lentelė'!L105</f>
        <v>644100</v>
      </c>
      <c r="K107" s="58">
        <f>'2 lentelė'!Q105</f>
        <v>547485</v>
      </c>
      <c r="L107" s="58">
        <v>0</v>
      </c>
      <c r="M107" s="58">
        <v>0</v>
      </c>
      <c r="N107" s="58">
        <v>0</v>
      </c>
      <c r="O107" s="58">
        <v>0</v>
      </c>
      <c r="P107" s="58">
        <v>0</v>
      </c>
      <c r="Q107" s="58">
        <v>0</v>
      </c>
      <c r="R107" s="58">
        <f>D107+F107+H107+J107+L107+N107+P107</f>
        <v>644100</v>
      </c>
      <c r="S107" s="58">
        <f t="shared" si="52"/>
        <v>547485</v>
      </c>
      <c r="T107" s="129"/>
      <c r="U107" s="129"/>
      <c r="V107" s="128"/>
      <c r="W107" s="135"/>
    </row>
    <row r="108" spans="2:23" ht="63.75" hidden="1" x14ac:dyDescent="0.25">
      <c r="B108" s="85" t="s">
        <v>303</v>
      </c>
      <c r="C108" s="51" t="s">
        <v>304</v>
      </c>
      <c r="D108" s="59">
        <v>0</v>
      </c>
      <c r="E108" s="59">
        <v>0</v>
      </c>
      <c r="F108" s="59">
        <v>0</v>
      </c>
      <c r="G108" s="58">
        <v>0</v>
      </c>
      <c r="H108" s="58">
        <v>0</v>
      </c>
      <c r="I108" s="58">
        <v>0</v>
      </c>
      <c r="J108" s="58">
        <f>'2 lentelė'!L106</f>
        <v>591365.71</v>
      </c>
      <c r="K108" s="58">
        <f>'2 lentelė'!Q106</f>
        <v>502660.84</v>
      </c>
      <c r="L108" s="58">
        <v>0</v>
      </c>
      <c r="M108" s="58">
        <v>0</v>
      </c>
      <c r="N108" s="58">
        <v>0</v>
      </c>
      <c r="O108" s="58">
        <v>0</v>
      </c>
      <c r="P108" s="58">
        <v>0</v>
      </c>
      <c r="Q108" s="58">
        <v>0</v>
      </c>
      <c r="R108" s="58">
        <f>D108+F108+H108+J108+L108+N108+P108</f>
        <v>591365.71</v>
      </c>
      <c r="S108" s="58">
        <f t="shared" si="52"/>
        <v>502660.84</v>
      </c>
      <c r="T108" s="129"/>
      <c r="U108" s="129"/>
      <c r="V108" s="128"/>
      <c r="W108" s="135"/>
    </row>
    <row r="109" spans="2:23" ht="89.25" hidden="1" x14ac:dyDescent="0.25">
      <c r="B109" s="85" t="s">
        <v>305</v>
      </c>
      <c r="C109" s="51" t="s">
        <v>306</v>
      </c>
      <c r="D109" s="59">
        <v>0</v>
      </c>
      <c r="E109" s="59">
        <v>0</v>
      </c>
      <c r="F109" s="59">
        <v>0</v>
      </c>
      <c r="G109" s="58">
        <v>0</v>
      </c>
      <c r="H109" s="58">
        <f>'2 lentelė'!L107</f>
        <v>238835.47</v>
      </c>
      <c r="I109" s="58">
        <f>'2 lentelė'!Q107</f>
        <v>203010.14</v>
      </c>
      <c r="J109" s="58">
        <v>0</v>
      </c>
      <c r="K109" s="58">
        <v>0</v>
      </c>
      <c r="L109" s="58">
        <v>0</v>
      </c>
      <c r="M109" s="58">
        <v>0</v>
      </c>
      <c r="N109" s="58">
        <v>0</v>
      </c>
      <c r="O109" s="58">
        <v>0</v>
      </c>
      <c r="P109" s="58">
        <v>0</v>
      </c>
      <c r="Q109" s="58">
        <v>0</v>
      </c>
      <c r="R109" s="58">
        <f t="shared" si="52"/>
        <v>238835.47</v>
      </c>
      <c r="S109" s="58">
        <f t="shared" si="52"/>
        <v>203010.14</v>
      </c>
      <c r="T109" s="129"/>
      <c r="U109" s="129"/>
      <c r="V109" s="128"/>
      <c r="W109" s="135"/>
    </row>
    <row r="110" spans="2:23" ht="63.75" hidden="1" x14ac:dyDescent="0.25">
      <c r="B110" s="85" t="s">
        <v>307</v>
      </c>
      <c r="C110" s="51" t="s">
        <v>308</v>
      </c>
      <c r="D110" s="59">
        <v>0</v>
      </c>
      <c r="E110" s="59">
        <v>0</v>
      </c>
      <c r="F110" s="59">
        <v>0</v>
      </c>
      <c r="G110" s="58">
        <v>0</v>
      </c>
      <c r="H110" s="58">
        <v>0</v>
      </c>
      <c r="I110" s="58">
        <v>0</v>
      </c>
      <c r="J110" s="58">
        <v>0</v>
      </c>
      <c r="K110" s="58">
        <v>0</v>
      </c>
      <c r="L110" s="58">
        <f>'2 lentelė'!L108</f>
        <v>170426</v>
      </c>
      <c r="M110" s="58">
        <f>'2 lentelė'!Q108</f>
        <v>144862.1</v>
      </c>
      <c r="N110" s="58">
        <v>0</v>
      </c>
      <c r="O110" s="58">
        <v>0</v>
      </c>
      <c r="P110" s="58">
        <v>0</v>
      </c>
      <c r="Q110" s="58">
        <v>0</v>
      </c>
      <c r="R110" s="58">
        <f>D110+F110+H110+J110+L110+N110+P110</f>
        <v>170426</v>
      </c>
      <c r="S110" s="58">
        <f t="shared" si="52"/>
        <v>144862.1</v>
      </c>
      <c r="T110" s="129"/>
      <c r="U110" s="129"/>
      <c r="V110" s="128"/>
      <c r="W110" s="135"/>
    </row>
    <row r="111" spans="2:23" ht="89.25" hidden="1" customHeight="1" x14ac:dyDescent="0.25">
      <c r="B111" s="85" t="s">
        <v>309</v>
      </c>
      <c r="C111" s="51" t="s">
        <v>310</v>
      </c>
      <c r="D111" s="59">
        <v>0</v>
      </c>
      <c r="E111" s="59">
        <v>0</v>
      </c>
      <c r="F111" s="59">
        <v>0</v>
      </c>
      <c r="G111" s="58">
        <v>0</v>
      </c>
      <c r="H111" s="58">
        <v>0</v>
      </c>
      <c r="I111" s="58">
        <v>0</v>
      </c>
      <c r="J111" s="58">
        <v>0</v>
      </c>
      <c r="K111" s="58">
        <v>0</v>
      </c>
      <c r="L111" s="58">
        <v>0</v>
      </c>
      <c r="M111" s="58">
        <v>0</v>
      </c>
      <c r="N111" s="58">
        <f>'2 lentelė'!L109</f>
        <v>470588.24</v>
      </c>
      <c r="O111" s="58">
        <f>'2 lentelė'!Q109</f>
        <v>400000</v>
      </c>
      <c r="P111" s="58">
        <v>0</v>
      </c>
      <c r="Q111" s="58">
        <v>0</v>
      </c>
      <c r="R111" s="58">
        <f>D111+F111+H111+J111+L111+N111+P111</f>
        <v>470588.24</v>
      </c>
      <c r="S111" s="58">
        <f t="shared" si="52"/>
        <v>400000</v>
      </c>
      <c r="T111" s="129"/>
      <c r="U111" s="129"/>
      <c r="V111" s="128"/>
      <c r="W111" s="135"/>
    </row>
    <row r="112" spans="2:23" ht="89.25" hidden="1" customHeight="1" x14ac:dyDescent="0.25">
      <c r="B112" s="85" t="s">
        <v>311</v>
      </c>
      <c r="C112" s="51" t="s">
        <v>312</v>
      </c>
      <c r="D112" s="59">
        <v>0</v>
      </c>
      <c r="E112" s="59">
        <v>0</v>
      </c>
      <c r="F112" s="59">
        <v>0</v>
      </c>
      <c r="G112" s="58">
        <v>0</v>
      </c>
      <c r="H112" s="58">
        <v>0</v>
      </c>
      <c r="I112" s="58">
        <v>0</v>
      </c>
      <c r="J112" s="58">
        <v>0</v>
      </c>
      <c r="K112" s="58">
        <v>0</v>
      </c>
      <c r="L112" s="58">
        <v>0</v>
      </c>
      <c r="M112" s="58">
        <v>0</v>
      </c>
      <c r="N112" s="58">
        <f>'2 lentelė'!L110</f>
        <v>98996.69</v>
      </c>
      <c r="O112" s="58">
        <f>'2 lentelė'!Q110</f>
        <v>53195.040000000001</v>
      </c>
      <c r="P112" s="58">
        <v>0</v>
      </c>
      <c r="Q112" s="58">
        <v>0</v>
      </c>
      <c r="R112" s="58">
        <f>D112+F112+H112+J112+L112+N112+P112</f>
        <v>98996.69</v>
      </c>
      <c r="S112" s="58">
        <f t="shared" si="52"/>
        <v>53195.040000000001</v>
      </c>
      <c r="T112" s="129"/>
      <c r="U112" s="129"/>
      <c r="V112" s="128"/>
      <c r="W112" s="135"/>
    </row>
    <row r="113" spans="2:23" ht="61.5" hidden="1" customHeight="1" x14ac:dyDescent="0.25">
      <c r="B113" s="85" t="s">
        <v>313</v>
      </c>
      <c r="C113" s="51" t="s">
        <v>314</v>
      </c>
      <c r="D113" s="59">
        <v>0</v>
      </c>
      <c r="E113" s="59">
        <v>0</v>
      </c>
      <c r="F113" s="59">
        <v>0</v>
      </c>
      <c r="G113" s="58">
        <v>0</v>
      </c>
      <c r="H113" s="58">
        <v>0</v>
      </c>
      <c r="I113" s="58">
        <v>0</v>
      </c>
      <c r="J113" s="58">
        <v>0</v>
      </c>
      <c r="K113" s="58">
        <v>0</v>
      </c>
      <c r="L113" s="58">
        <f>'2 lentelė'!L111</f>
        <v>294160.27</v>
      </c>
      <c r="M113" s="58">
        <f>'2 lentelė'!Q111</f>
        <v>213195.03</v>
      </c>
      <c r="N113" s="58">
        <v>0</v>
      </c>
      <c r="O113" s="58">
        <v>0</v>
      </c>
      <c r="P113" s="58">
        <v>0</v>
      </c>
      <c r="Q113" s="58">
        <v>0</v>
      </c>
      <c r="R113" s="58">
        <f>D113+F113+H113+J113+L113+N113+P113</f>
        <v>294160.27</v>
      </c>
      <c r="S113" s="58">
        <f t="shared" si="52"/>
        <v>213195.03</v>
      </c>
      <c r="T113" s="129"/>
      <c r="U113" s="129"/>
      <c r="V113" s="128"/>
      <c r="W113" s="135"/>
    </row>
    <row r="114" spans="2:23" ht="76.5" hidden="1" x14ac:dyDescent="0.25">
      <c r="B114" s="85" t="s">
        <v>315</v>
      </c>
      <c r="C114" s="51" t="s">
        <v>316</v>
      </c>
      <c r="D114" s="59">
        <v>0</v>
      </c>
      <c r="E114" s="59">
        <v>0</v>
      </c>
      <c r="F114" s="59">
        <v>0</v>
      </c>
      <c r="G114" s="58">
        <v>0</v>
      </c>
      <c r="H114" s="58">
        <v>0</v>
      </c>
      <c r="I114" s="58">
        <v>0</v>
      </c>
      <c r="J114" s="58">
        <v>0</v>
      </c>
      <c r="K114" s="58">
        <v>0</v>
      </c>
      <c r="L114" s="58">
        <v>0</v>
      </c>
      <c r="M114" s="58">
        <v>0</v>
      </c>
      <c r="N114" s="58">
        <v>0</v>
      </c>
      <c r="O114" s="58">
        <v>0</v>
      </c>
      <c r="P114" s="58">
        <f>'2 lentelė'!L112</f>
        <v>588235.30000000005</v>
      </c>
      <c r="Q114" s="58">
        <f>'2 lentelė'!Q112</f>
        <v>500000</v>
      </c>
      <c r="R114" s="58">
        <f>D114+F114+H114+J114+L114+N114+P114</f>
        <v>588235.30000000005</v>
      </c>
      <c r="S114" s="58">
        <f t="shared" si="52"/>
        <v>500000</v>
      </c>
      <c r="T114" s="129"/>
      <c r="U114" s="129"/>
      <c r="V114" s="128"/>
      <c r="W114" s="135"/>
    </row>
    <row r="115" spans="2:23" ht="51" x14ac:dyDescent="0.25">
      <c r="B115" s="75" t="s">
        <v>317</v>
      </c>
      <c r="C115" s="76" t="s">
        <v>318</v>
      </c>
      <c r="D115" s="75">
        <v>0</v>
      </c>
      <c r="E115" s="76">
        <v>0</v>
      </c>
      <c r="F115" s="75">
        <v>0</v>
      </c>
      <c r="G115" s="76">
        <v>0</v>
      </c>
      <c r="H115" s="75">
        <f>SUM(H116,H119)</f>
        <v>0</v>
      </c>
      <c r="I115" s="76">
        <f t="shared" ref="I115:K115" si="53">SUM(I116,I119)</f>
        <v>0</v>
      </c>
      <c r="J115" s="75">
        <f t="shared" si="53"/>
        <v>0</v>
      </c>
      <c r="K115" s="76">
        <f t="shared" si="53"/>
        <v>0</v>
      </c>
      <c r="L115" s="75">
        <f>SUM(L116,L119,L121)</f>
        <v>2044376</v>
      </c>
      <c r="M115" s="75">
        <f t="shared" ref="M115:S115" si="54">SUM(M116,M119,M121)</f>
        <v>1737720</v>
      </c>
      <c r="N115" s="75">
        <f t="shared" si="54"/>
        <v>7000000</v>
      </c>
      <c r="O115" s="75">
        <f t="shared" si="54"/>
        <v>0</v>
      </c>
      <c r="P115" s="75">
        <f t="shared" si="54"/>
        <v>0</v>
      </c>
      <c r="Q115" s="75">
        <f t="shared" si="54"/>
        <v>0</v>
      </c>
      <c r="R115" s="75">
        <f t="shared" si="54"/>
        <v>9044376</v>
      </c>
      <c r="S115" s="75">
        <f t="shared" si="54"/>
        <v>1737720</v>
      </c>
      <c r="T115" s="129"/>
      <c r="U115" s="129"/>
      <c r="V115" s="128"/>
      <c r="W115" s="135"/>
    </row>
    <row r="116" spans="2:23" ht="63.75" x14ac:dyDescent="0.25">
      <c r="B116" s="107" t="s">
        <v>319</v>
      </c>
      <c r="C116" s="29" t="s">
        <v>320</v>
      </c>
      <c r="D116" s="29">
        <v>0</v>
      </c>
      <c r="E116" s="29">
        <v>0</v>
      </c>
      <c r="F116" s="29">
        <v>0</v>
      </c>
      <c r="G116" s="29">
        <v>0</v>
      </c>
      <c r="H116" s="107">
        <f>SUM(H117)</f>
        <v>0</v>
      </c>
      <c r="I116" s="29">
        <f t="shared" ref="I116:S117" si="55">SUM(I117)</f>
        <v>0</v>
      </c>
      <c r="J116" s="29">
        <f t="shared" si="55"/>
        <v>0</v>
      </c>
      <c r="K116" s="29">
        <f t="shared" si="55"/>
        <v>0</v>
      </c>
      <c r="L116" s="29">
        <f t="shared" si="55"/>
        <v>2044376</v>
      </c>
      <c r="M116" s="29">
        <f t="shared" si="55"/>
        <v>1737720</v>
      </c>
      <c r="N116" s="107">
        <f t="shared" si="55"/>
        <v>0</v>
      </c>
      <c r="O116" s="29">
        <f t="shared" si="55"/>
        <v>0</v>
      </c>
      <c r="P116" s="29">
        <f t="shared" si="55"/>
        <v>0</v>
      </c>
      <c r="Q116" s="29">
        <f t="shared" si="55"/>
        <v>0</v>
      </c>
      <c r="R116" s="29">
        <f t="shared" si="55"/>
        <v>2044376</v>
      </c>
      <c r="S116" s="29">
        <f t="shared" si="55"/>
        <v>1737720</v>
      </c>
      <c r="T116" s="129"/>
      <c r="U116" s="129"/>
      <c r="V116" s="128"/>
      <c r="W116" s="135"/>
    </row>
    <row r="117" spans="2:23" ht="140.25" x14ac:dyDescent="0.25">
      <c r="B117" s="60" t="s">
        <v>321</v>
      </c>
      <c r="C117" s="60" t="s">
        <v>322</v>
      </c>
      <c r="D117" s="60">
        <v>0</v>
      </c>
      <c r="E117" s="60">
        <v>0</v>
      </c>
      <c r="F117" s="60">
        <v>0</v>
      </c>
      <c r="G117" s="60">
        <v>0</v>
      </c>
      <c r="H117" s="60">
        <f>SUM(H118)</f>
        <v>0</v>
      </c>
      <c r="I117" s="60">
        <f t="shared" si="55"/>
        <v>0</v>
      </c>
      <c r="J117" s="60">
        <f t="shared" si="55"/>
        <v>0</v>
      </c>
      <c r="K117" s="60">
        <f t="shared" si="55"/>
        <v>0</v>
      </c>
      <c r="L117" s="60">
        <f t="shared" si="55"/>
        <v>2044376</v>
      </c>
      <c r="M117" s="60">
        <f t="shared" si="55"/>
        <v>1737720</v>
      </c>
      <c r="N117" s="60">
        <f t="shared" si="55"/>
        <v>0</v>
      </c>
      <c r="O117" s="60">
        <f t="shared" si="55"/>
        <v>0</v>
      </c>
      <c r="P117" s="60">
        <f t="shared" si="55"/>
        <v>0</v>
      </c>
      <c r="Q117" s="60">
        <f t="shared" si="55"/>
        <v>0</v>
      </c>
      <c r="R117" s="60">
        <f t="shared" si="55"/>
        <v>2044376</v>
      </c>
      <c r="S117" s="60">
        <f t="shared" si="55"/>
        <v>1737720</v>
      </c>
      <c r="T117" s="129"/>
      <c r="U117" s="129"/>
      <c r="V117" s="128"/>
      <c r="W117" s="135"/>
    </row>
    <row r="118" spans="2:23" ht="102" hidden="1" x14ac:dyDescent="0.25">
      <c r="B118" s="85" t="s">
        <v>323</v>
      </c>
      <c r="C118" s="51" t="s">
        <v>324</v>
      </c>
      <c r="D118" s="59">
        <v>0</v>
      </c>
      <c r="E118" s="59">
        <v>0</v>
      </c>
      <c r="F118" s="59">
        <v>0</v>
      </c>
      <c r="G118" s="58">
        <v>0</v>
      </c>
      <c r="H118" s="58">
        <v>0</v>
      </c>
      <c r="I118" s="58">
        <v>0</v>
      </c>
      <c r="J118" s="58">
        <v>0</v>
      </c>
      <c r="K118" s="58">
        <v>0</v>
      </c>
      <c r="L118" s="58">
        <f>'2 lentelė'!L116</f>
        <v>2044376</v>
      </c>
      <c r="M118" s="58">
        <f>'2 lentelė'!Q116</f>
        <v>1737720</v>
      </c>
      <c r="N118" s="58">
        <v>0</v>
      </c>
      <c r="O118" s="58">
        <v>0</v>
      </c>
      <c r="P118" s="58">
        <v>0</v>
      </c>
      <c r="Q118" s="58">
        <v>0</v>
      </c>
      <c r="R118" s="58">
        <f>D118+F118+H118+J118+L118+N118+P118</f>
        <v>2044376</v>
      </c>
      <c r="S118" s="58">
        <f>E118+G118+I118+K118+M118+O118+Q118</f>
        <v>1737720</v>
      </c>
      <c r="T118" s="129"/>
      <c r="U118" s="129"/>
      <c r="V118" s="128"/>
      <c r="W118" s="135"/>
    </row>
    <row r="119" spans="2:23" ht="38.25" x14ac:dyDescent="0.25">
      <c r="B119" s="107" t="s">
        <v>325</v>
      </c>
      <c r="C119" s="29" t="s">
        <v>326</v>
      </c>
      <c r="D119" s="29">
        <v>0</v>
      </c>
      <c r="E119" s="107">
        <v>0</v>
      </c>
      <c r="F119" s="29">
        <v>0</v>
      </c>
      <c r="G119" s="29">
        <v>0</v>
      </c>
      <c r="H119" s="107">
        <v>0</v>
      </c>
      <c r="I119" s="29">
        <v>0</v>
      </c>
      <c r="J119" s="29">
        <v>0</v>
      </c>
      <c r="K119" s="107">
        <v>0</v>
      </c>
      <c r="L119" s="29">
        <v>0</v>
      </c>
      <c r="M119" s="29">
        <v>0</v>
      </c>
      <c r="N119" s="107">
        <v>0</v>
      </c>
      <c r="O119" s="29">
        <v>0</v>
      </c>
      <c r="P119" s="29">
        <v>0</v>
      </c>
      <c r="Q119" s="107">
        <v>0</v>
      </c>
      <c r="R119" s="107">
        <f t="shared" ref="R119" si="56">D119+F119+H119+J119+L119+N119+P119</f>
        <v>0</v>
      </c>
      <c r="S119" s="29">
        <f t="shared" ref="S119" si="57">E119+G119+I119+K119+M119+O119+Q119</f>
        <v>0</v>
      </c>
      <c r="T119" s="129"/>
      <c r="U119" s="129"/>
      <c r="V119" s="128"/>
      <c r="W119" s="135"/>
    </row>
    <row r="120" spans="2:23" ht="38.25" x14ac:dyDescent="0.25">
      <c r="B120" s="60" t="s">
        <v>327</v>
      </c>
      <c r="C120" s="60" t="s">
        <v>328</v>
      </c>
      <c r="D120" s="60">
        <v>0</v>
      </c>
      <c r="E120" s="60">
        <v>0</v>
      </c>
      <c r="F120" s="60">
        <v>0</v>
      </c>
      <c r="G120" s="60">
        <v>0</v>
      </c>
      <c r="H120" s="60">
        <v>0</v>
      </c>
      <c r="I120" s="60">
        <v>0</v>
      </c>
      <c r="J120" s="60">
        <v>0</v>
      </c>
      <c r="K120" s="60">
        <v>0</v>
      </c>
      <c r="L120" s="60">
        <v>0</v>
      </c>
      <c r="M120" s="60">
        <v>0</v>
      </c>
      <c r="N120" s="60">
        <v>0</v>
      </c>
      <c r="O120" s="60">
        <v>0</v>
      </c>
      <c r="P120" s="60">
        <v>0</v>
      </c>
      <c r="Q120" s="60">
        <v>0</v>
      </c>
      <c r="R120" s="60">
        <f t="shared" ref="R120:R123" si="58">D120+F120+H120+J120+L120+N120+P120</f>
        <v>0</v>
      </c>
      <c r="S120" s="60">
        <f t="shared" ref="S120:S123" si="59">E120+G120+I120+K120+M120+O120+Q120</f>
        <v>0</v>
      </c>
      <c r="T120" s="129"/>
      <c r="U120" s="129"/>
      <c r="V120" s="128"/>
      <c r="W120" s="135"/>
    </row>
    <row r="121" spans="2:23" ht="89.25" x14ac:dyDescent="0.25">
      <c r="B121" s="107" t="s">
        <v>1085</v>
      </c>
      <c r="C121" s="29" t="s">
        <v>1099</v>
      </c>
      <c r="D121" s="29">
        <f>D122</f>
        <v>0</v>
      </c>
      <c r="E121" s="29">
        <f t="shared" ref="E121:S121" si="60">E122</f>
        <v>0</v>
      </c>
      <c r="F121" s="29">
        <f t="shared" si="60"/>
        <v>0</v>
      </c>
      <c r="G121" s="29">
        <f t="shared" si="60"/>
        <v>0</v>
      </c>
      <c r="H121" s="29">
        <f t="shared" si="60"/>
        <v>0</v>
      </c>
      <c r="I121" s="29">
        <f t="shared" si="60"/>
        <v>0</v>
      </c>
      <c r="J121" s="29">
        <f t="shared" si="60"/>
        <v>0</v>
      </c>
      <c r="K121" s="29">
        <f t="shared" si="60"/>
        <v>0</v>
      </c>
      <c r="L121" s="29">
        <f t="shared" si="60"/>
        <v>0</v>
      </c>
      <c r="M121" s="29">
        <f t="shared" si="60"/>
        <v>0</v>
      </c>
      <c r="N121" s="29">
        <f t="shared" si="60"/>
        <v>7000000</v>
      </c>
      <c r="O121" s="29">
        <f t="shared" si="60"/>
        <v>0</v>
      </c>
      <c r="P121" s="29">
        <f t="shared" si="60"/>
        <v>0</v>
      </c>
      <c r="Q121" s="29">
        <f t="shared" si="60"/>
        <v>0</v>
      </c>
      <c r="R121" s="29">
        <f t="shared" si="60"/>
        <v>7000000</v>
      </c>
      <c r="S121" s="29">
        <f t="shared" si="60"/>
        <v>0</v>
      </c>
      <c r="T121" s="129"/>
      <c r="U121" s="129"/>
      <c r="V121" s="128"/>
      <c r="W121" s="135"/>
    </row>
    <row r="122" spans="2:23" ht="44.25" customHeight="1" x14ac:dyDescent="0.25">
      <c r="B122" s="60" t="s">
        <v>1086</v>
      </c>
      <c r="C122" s="60" t="s">
        <v>1092</v>
      </c>
      <c r="D122" s="60">
        <f>D123</f>
        <v>0</v>
      </c>
      <c r="E122" s="60">
        <f t="shared" ref="E122:Q122" si="61">E123</f>
        <v>0</v>
      </c>
      <c r="F122" s="60">
        <f t="shared" si="61"/>
        <v>0</v>
      </c>
      <c r="G122" s="60">
        <f t="shared" si="61"/>
        <v>0</v>
      </c>
      <c r="H122" s="60">
        <f t="shared" si="61"/>
        <v>0</v>
      </c>
      <c r="I122" s="60">
        <f t="shared" si="61"/>
        <v>0</v>
      </c>
      <c r="J122" s="60">
        <f t="shared" si="61"/>
        <v>0</v>
      </c>
      <c r="K122" s="60">
        <f t="shared" si="61"/>
        <v>0</v>
      </c>
      <c r="L122" s="60">
        <f t="shared" si="61"/>
        <v>0</v>
      </c>
      <c r="M122" s="60">
        <f t="shared" si="61"/>
        <v>0</v>
      </c>
      <c r="N122" s="60">
        <f t="shared" si="61"/>
        <v>7000000</v>
      </c>
      <c r="O122" s="60">
        <f t="shared" si="61"/>
        <v>0</v>
      </c>
      <c r="P122" s="60">
        <f t="shared" si="61"/>
        <v>0</v>
      </c>
      <c r="Q122" s="60">
        <f t="shared" si="61"/>
        <v>0</v>
      </c>
      <c r="R122" s="60">
        <f t="shared" si="58"/>
        <v>7000000</v>
      </c>
      <c r="S122" s="60">
        <f t="shared" si="59"/>
        <v>0</v>
      </c>
      <c r="T122" s="129"/>
      <c r="U122" s="129"/>
      <c r="V122" s="128"/>
      <c r="W122" s="135"/>
    </row>
    <row r="123" spans="2:23" ht="84" hidden="1" customHeight="1" x14ac:dyDescent="0.25">
      <c r="B123" s="51" t="s">
        <v>1087</v>
      </c>
      <c r="C123" s="51" t="s">
        <v>1100</v>
      </c>
      <c r="D123" s="51">
        <v>0</v>
      </c>
      <c r="E123" s="51">
        <v>0</v>
      </c>
      <c r="F123" s="51">
        <v>0</v>
      </c>
      <c r="G123" s="51">
        <v>0</v>
      </c>
      <c r="H123" s="51">
        <v>0</v>
      </c>
      <c r="I123" s="51">
        <v>0</v>
      </c>
      <c r="J123" s="51">
        <v>0</v>
      </c>
      <c r="K123" s="51">
        <v>0</v>
      </c>
      <c r="L123" s="51">
        <v>0</v>
      </c>
      <c r="M123" s="51">
        <v>0</v>
      </c>
      <c r="N123" s="51">
        <f>'2 lentelė'!L121</f>
        <v>7000000</v>
      </c>
      <c r="O123" s="51">
        <f>'2 lentelė'!Q121</f>
        <v>0</v>
      </c>
      <c r="P123" s="51">
        <v>0</v>
      </c>
      <c r="Q123" s="51">
        <v>0</v>
      </c>
      <c r="R123" s="85">
        <f t="shared" si="58"/>
        <v>7000000</v>
      </c>
      <c r="S123" s="148">
        <f t="shared" si="59"/>
        <v>0</v>
      </c>
      <c r="T123" s="129"/>
      <c r="U123" s="129"/>
      <c r="V123" s="128"/>
      <c r="W123" s="135"/>
    </row>
    <row r="124" spans="2:23" ht="25.5" x14ac:dyDescent="0.25">
      <c r="B124" s="122" t="s">
        <v>948</v>
      </c>
      <c r="C124" s="79" t="s">
        <v>947</v>
      </c>
      <c r="D124" s="79">
        <f>D125+D138</f>
        <v>0</v>
      </c>
      <c r="E124" s="79">
        <f t="shared" ref="E124:S124" si="62">E125+E138</f>
        <v>0</v>
      </c>
      <c r="F124" s="79">
        <f t="shared" si="62"/>
        <v>0</v>
      </c>
      <c r="G124" s="79">
        <f t="shared" si="62"/>
        <v>0</v>
      </c>
      <c r="H124" s="79">
        <f t="shared" si="62"/>
        <v>2581906.2000000002</v>
      </c>
      <c r="I124" s="79">
        <f t="shared" si="62"/>
        <v>2194566.25</v>
      </c>
      <c r="J124" s="79">
        <f t="shared" si="62"/>
        <v>6854309.3599999994</v>
      </c>
      <c r="K124" s="79">
        <f t="shared" si="62"/>
        <v>5916620.71</v>
      </c>
      <c r="L124" s="79">
        <f t="shared" si="62"/>
        <v>5691926.2000000011</v>
      </c>
      <c r="M124" s="79">
        <f t="shared" si="62"/>
        <v>4409873.96</v>
      </c>
      <c r="N124" s="79">
        <f t="shared" si="62"/>
        <v>862225.55</v>
      </c>
      <c r="O124" s="79">
        <f t="shared" si="62"/>
        <v>729712.95</v>
      </c>
      <c r="P124" s="79">
        <f t="shared" si="62"/>
        <v>0</v>
      </c>
      <c r="Q124" s="79">
        <f t="shared" si="62"/>
        <v>0</v>
      </c>
      <c r="R124" s="79">
        <f t="shared" si="62"/>
        <v>16254290.189999999</v>
      </c>
      <c r="S124" s="79">
        <f t="shared" si="62"/>
        <v>13250773.870000001</v>
      </c>
      <c r="T124" s="129"/>
      <c r="U124" s="129"/>
      <c r="V124" s="128"/>
      <c r="W124" s="135"/>
    </row>
    <row r="125" spans="2:23" ht="51" x14ac:dyDescent="0.25">
      <c r="B125" s="75" t="s">
        <v>329</v>
      </c>
      <c r="C125" s="76" t="s">
        <v>330</v>
      </c>
      <c r="D125" s="75">
        <v>0</v>
      </c>
      <c r="E125" s="75">
        <v>0</v>
      </c>
      <c r="F125" s="76">
        <v>0</v>
      </c>
      <c r="G125" s="75">
        <v>0</v>
      </c>
      <c r="H125" s="75">
        <f>H126+H134</f>
        <v>0</v>
      </c>
      <c r="I125" s="75">
        <f t="shared" ref="I125:S125" si="63">I126+I134</f>
        <v>0</v>
      </c>
      <c r="J125" s="75">
        <f t="shared" si="63"/>
        <v>1346002.9</v>
      </c>
      <c r="K125" s="75">
        <f t="shared" si="63"/>
        <v>1132178</v>
      </c>
      <c r="L125" s="75">
        <f t="shared" si="63"/>
        <v>1974487.1800000002</v>
      </c>
      <c r="M125" s="75">
        <f t="shared" si="63"/>
        <v>1489442</v>
      </c>
      <c r="N125" s="75">
        <f t="shared" si="63"/>
        <v>0</v>
      </c>
      <c r="O125" s="75">
        <f t="shared" si="63"/>
        <v>0</v>
      </c>
      <c r="P125" s="75">
        <f t="shared" si="63"/>
        <v>0</v>
      </c>
      <c r="Q125" s="75">
        <f t="shared" si="63"/>
        <v>0</v>
      </c>
      <c r="R125" s="75">
        <f t="shared" si="63"/>
        <v>3320490.08</v>
      </c>
      <c r="S125" s="75">
        <f t="shared" si="63"/>
        <v>2621620</v>
      </c>
      <c r="T125" s="129"/>
      <c r="U125" s="129"/>
      <c r="V125" s="128"/>
      <c r="W125" s="135"/>
    </row>
    <row r="126" spans="2:23" ht="53.25" customHeight="1" x14ac:dyDescent="0.25">
      <c r="B126" s="107" t="s">
        <v>331</v>
      </c>
      <c r="C126" s="29" t="s">
        <v>332</v>
      </c>
      <c r="D126" s="107">
        <v>0</v>
      </c>
      <c r="E126" s="29">
        <v>0</v>
      </c>
      <c r="F126" s="107">
        <v>0</v>
      </c>
      <c r="G126" s="29">
        <v>0</v>
      </c>
      <c r="H126" s="107">
        <f t="shared" ref="H126:S126" si="64">H127+H130</f>
        <v>0</v>
      </c>
      <c r="I126" s="29">
        <f t="shared" si="64"/>
        <v>0</v>
      </c>
      <c r="J126" s="107">
        <f t="shared" si="64"/>
        <v>0</v>
      </c>
      <c r="K126" s="29">
        <f t="shared" si="64"/>
        <v>0</v>
      </c>
      <c r="L126" s="107">
        <f t="shared" si="64"/>
        <v>1653859.1800000002</v>
      </c>
      <c r="M126" s="29">
        <f t="shared" si="64"/>
        <v>1216909</v>
      </c>
      <c r="N126" s="107">
        <f t="shared" si="64"/>
        <v>0</v>
      </c>
      <c r="O126" s="29">
        <f t="shared" si="64"/>
        <v>0</v>
      </c>
      <c r="P126" s="107">
        <f t="shared" si="64"/>
        <v>0</v>
      </c>
      <c r="Q126" s="29">
        <f t="shared" si="64"/>
        <v>0</v>
      </c>
      <c r="R126" s="107">
        <f t="shared" si="64"/>
        <v>1653859.1800000002</v>
      </c>
      <c r="S126" s="29">
        <f t="shared" si="64"/>
        <v>1216909</v>
      </c>
      <c r="T126" s="129"/>
      <c r="U126" s="129"/>
      <c r="V126" s="128"/>
      <c r="W126" s="135"/>
    </row>
    <row r="127" spans="2:23" ht="51" x14ac:dyDescent="0.25">
      <c r="B127" s="60" t="s">
        <v>333</v>
      </c>
      <c r="C127" s="60" t="s">
        <v>334</v>
      </c>
      <c r="D127" s="60">
        <v>0</v>
      </c>
      <c r="E127" s="60">
        <v>0</v>
      </c>
      <c r="F127" s="60">
        <v>0</v>
      </c>
      <c r="G127" s="60">
        <v>0</v>
      </c>
      <c r="H127" s="60">
        <f t="shared" ref="H127:S127" si="65">SUM(H128:H129)</f>
        <v>0</v>
      </c>
      <c r="I127" s="60">
        <f t="shared" si="65"/>
        <v>0</v>
      </c>
      <c r="J127" s="60">
        <f t="shared" si="65"/>
        <v>0</v>
      </c>
      <c r="K127" s="60">
        <f t="shared" si="65"/>
        <v>0</v>
      </c>
      <c r="L127" s="60">
        <f t="shared" si="65"/>
        <v>609261.09</v>
      </c>
      <c r="M127" s="60">
        <f t="shared" si="65"/>
        <v>386380</v>
      </c>
      <c r="N127" s="60">
        <f t="shared" si="65"/>
        <v>0</v>
      </c>
      <c r="O127" s="60">
        <f t="shared" si="65"/>
        <v>0</v>
      </c>
      <c r="P127" s="60">
        <f t="shared" si="65"/>
        <v>0</v>
      </c>
      <c r="Q127" s="60">
        <f t="shared" si="65"/>
        <v>0</v>
      </c>
      <c r="R127" s="60">
        <f t="shared" si="65"/>
        <v>609261.09</v>
      </c>
      <c r="S127" s="60">
        <f t="shared" si="65"/>
        <v>386380</v>
      </c>
      <c r="T127" s="153" t="s">
        <v>1058</v>
      </c>
      <c r="U127" s="129">
        <v>560529</v>
      </c>
      <c r="V127" s="154">
        <f>U127-S127</f>
        <v>174149</v>
      </c>
      <c r="W127" s="135"/>
    </row>
    <row r="128" spans="2:23" ht="12" hidden="1" customHeight="1" x14ac:dyDescent="0.25">
      <c r="B128" s="145"/>
      <c r="C128" s="146"/>
      <c r="D128" s="59"/>
      <c r="E128" s="59"/>
      <c r="F128" s="59"/>
      <c r="G128" s="58"/>
      <c r="H128" s="58"/>
      <c r="I128" s="58"/>
      <c r="J128" s="58"/>
      <c r="K128" s="58"/>
      <c r="L128" s="58"/>
      <c r="M128" s="58"/>
      <c r="N128" s="58"/>
      <c r="O128" s="58"/>
      <c r="P128" s="58"/>
      <c r="Q128" s="58"/>
      <c r="R128" s="58"/>
      <c r="S128" s="58"/>
      <c r="T128" s="128"/>
      <c r="U128" s="128"/>
      <c r="V128" s="128"/>
      <c r="W128" s="135"/>
    </row>
    <row r="129" spans="2:23" ht="51" hidden="1" x14ac:dyDescent="0.25">
      <c r="B129" s="85" t="s">
        <v>335</v>
      </c>
      <c r="C129" s="51" t="s">
        <v>336</v>
      </c>
      <c r="D129" s="59">
        <v>0</v>
      </c>
      <c r="E129" s="59">
        <v>0</v>
      </c>
      <c r="F129" s="59">
        <v>0</v>
      </c>
      <c r="G129" s="58">
        <v>0</v>
      </c>
      <c r="H129" s="58">
        <v>0</v>
      </c>
      <c r="I129" s="58">
        <v>0</v>
      </c>
      <c r="J129" s="58">
        <v>0</v>
      </c>
      <c r="K129" s="58">
        <v>0</v>
      </c>
      <c r="L129" s="58">
        <f>'2 lentelė'!L127</f>
        <v>609261.09</v>
      </c>
      <c r="M129" s="58">
        <f>'2 lentelė'!Q127</f>
        <v>386380</v>
      </c>
      <c r="N129" s="58">
        <v>0</v>
      </c>
      <c r="O129" s="58">
        <v>0</v>
      </c>
      <c r="P129" s="58">
        <v>0</v>
      </c>
      <c r="Q129" s="58">
        <v>0</v>
      </c>
      <c r="R129" s="58">
        <f>D129+F129+H129+J129+L129+N129+P129</f>
        <v>609261.09</v>
      </c>
      <c r="S129" s="58">
        <f>E129+G129+I129+K129+M129+O129+Q129</f>
        <v>386380</v>
      </c>
      <c r="T129" s="129"/>
      <c r="U129" s="129"/>
      <c r="V129" s="128"/>
      <c r="W129" s="135"/>
    </row>
    <row r="130" spans="2:23" ht="38.25" x14ac:dyDescent="0.25">
      <c r="B130" s="60" t="s">
        <v>337</v>
      </c>
      <c r="C130" s="60" t="s">
        <v>338</v>
      </c>
      <c r="D130" s="60">
        <v>0</v>
      </c>
      <c r="E130" s="60">
        <v>0</v>
      </c>
      <c r="F130" s="60">
        <v>0</v>
      </c>
      <c r="G130" s="60">
        <v>0</v>
      </c>
      <c r="H130" s="60">
        <f>SUM(H131:H131)</f>
        <v>0</v>
      </c>
      <c r="I130" s="60">
        <f>SUM(I131:I131)</f>
        <v>0</v>
      </c>
      <c r="J130" s="60">
        <f>SUM(J131:J131)</f>
        <v>0</v>
      </c>
      <c r="K130" s="60">
        <f>SUM(K131:K133)</f>
        <v>0</v>
      </c>
      <c r="L130" s="60">
        <f t="shared" ref="L130:S130" si="66">SUM(L131:L133)</f>
        <v>1044598.0900000001</v>
      </c>
      <c r="M130" s="60">
        <f t="shared" si="66"/>
        <v>830529</v>
      </c>
      <c r="N130" s="60">
        <f t="shared" si="66"/>
        <v>0</v>
      </c>
      <c r="O130" s="60">
        <f t="shared" si="66"/>
        <v>0</v>
      </c>
      <c r="P130" s="60">
        <f t="shared" si="66"/>
        <v>0</v>
      </c>
      <c r="Q130" s="60">
        <f t="shared" si="66"/>
        <v>0</v>
      </c>
      <c r="R130" s="60">
        <f t="shared" si="66"/>
        <v>1044598.0900000001</v>
      </c>
      <c r="S130" s="60">
        <f t="shared" si="66"/>
        <v>830529</v>
      </c>
      <c r="T130" s="153" t="s">
        <v>1059</v>
      </c>
      <c r="U130" s="129">
        <v>830529</v>
      </c>
      <c r="V130" s="154">
        <f>U130-S130</f>
        <v>0</v>
      </c>
      <c r="W130" s="135"/>
    </row>
    <row r="131" spans="2:23" ht="78" hidden="1" customHeight="1" x14ac:dyDescent="0.25">
      <c r="B131" s="85" t="s">
        <v>339</v>
      </c>
      <c r="C131" s="51" t="s">
        <v>340</v>
      </c>
      <c r="D131" s="59">
        <v>0</v>
      </c>
      <c r="E131" s="59">
        <v>0</v>
      </c>
      <c r="F131" s="59">
        <v>0</v>
      </c>
      <c r="G131" s="58">
        <v>0</v>
      </c>
      <c r="H131" s="58">
        <v>0</v>
      </c>
      <c r="I131" s="58">
        <v>0</v>
      </c>
      <c r="J131" s="58">
        <v>0</v>
      </c>
      <c r="K131" s="58">
        <v>0</v>
      </c>
      <c r="L131" s="58">
        <f>'2 lentelė'!L129</f>
        <v>324706</v>
      </c>
      <c r="M131" s="58">
        <f>'2 lentelė'!Q129</f>
        <v>276000</v>
      </c>
      <c r="N131" s="58">
        <v>0</v>
      </c>
      <c r="O131" s="58">
        <v>0</v>
      </c>
      <c r="P131" s="58">
        <v>0</v>
      </c>
      <c r="Q131" s="58">
        <v>0</v>
      </c>
      <c r="R131" s="58">
        <f t="shared" ref="R131:S133" si="67">D131+F131+H131+J131+L131+N131+P131</f>
        <v>324706</v>
      </c>
      <c r="S131" s="58">
        <f t="shared" si="67"/>
        <v>276000</v>
      </c>
      <c r="T131" s="129"/>
      <c r="U131" s="129"/>
      <c r="V131" s="128"/>
      <c r="W131" s="135"/>
    </row>
    <row r="132" spans="2:23" ht="63.75" hidden="1" x14ac:dyDescent="0.25">
      <c r="B132" s="85" t="s">
        <v>341</v>
      </c>
      <c r="C132" s="51" t="s">
        <v>342</v>
      </c>
      <c r="D132" s="59">
        <v>0</v>
      </c>
      <c r="E132" s="59">
        <v>0</v>
      </c>
      <c r="F132" s="59">
        <v>0</v>
      </c>
      <c r="G132" s="58">
        <v>0</v>
      </c>
      <c r="H132" s="58">
        <v>0</v>
      </c>
      <c r="I132" s="58">
        <v>0</v>
      </c>
      <c r="J132" s="58">
        <v>0</v>
      </c>
      <c r="K132" s="58">
        <v>0</v>
      </c>
      <c r="L132" s="58">
        <f>'2 lentelė'!L130</f>
        <v>361401</v>
      </c>
      <c r="M132" s="58">
        <f>'2 lentelė'!Q130</f>
        <v>282125</v>
      </c>
      <c r="N132" s="58">
        <v>0</v>
      </c>
      <c r="O132" s="58">
        <v>0</v>
      </c>
      <c r="P132" s="58">
        <v>0</v>
      </c>
      <c r="Q132" s="58">
        <v>0</v>
      </c>
      <c r="R132" s="58">
        <f t="shared" si="67"/>
        <v>361401</v>
      </c>
      <c r="S132" s="58">
        <f t="shared" si="67"/>
        <v>282125</v>
      </c>
      <c r="T132" s="129"/>
      <c r="U132" s="129"/>
      <c r="V132" s="128"/>
      <c r="W132" s="135"/>
    </row>
    <row r="133" spans="2:23" ht="51" hidden="1" x14ac:dyDescent="0.25">
      <c r="B133" s="85" t="s">
        <v>343</v>
      </c>
      <c r="C133" s="51" t="s">
        <v>344</v>
      </c>
      <c r="D133" s="59">
        <v>0</v>
      </c>
      <c r="E133" s="59">
        <v>0</v>
      </c>
      <c r="F133" s="59">
        <v>0</v>
      </c>
      <c r="G133" s="58">
        <v>0</v>
      </c>
      <c r="H133" s="58">
        <v>0</v>
      </c>
      <c r="I133" s="58">
        <v>0</v>
      </c>
      <c r="J133" s="58">
        <v>0</v>
      </c>
      <c r="K133" s="58">
        <v>0</v>
      </c>
      <c r="L133" s="61">
        <f>'2 lentelė'!L131</f>
        <v>358491.09</v>
      </c>
      <c r="M133" s="58">
        <f>'2 lentelė'!Q131</f>
        <v>272404</v>
      </c>
      <c r="N133" s="58">
        <v>0</v>
      </c>
      <c r="O133" s="58">
        <v>0</v>
      </c>
      <c r="P133" s="58">
        <v>0</v>
      </c>
      <c r="Q133" s="58">
        <v>0</v>
      </c>
      <c r="R133" s="58">
        <f t="shared" si="67"/>
        <v>358491.09</v>
      </c>
      <c r="S133" s="58">
        <f t="shared" si="67"/>
        <v>272404</v>
      </c>
      <c r="T133" s="129"/>
      <c r="U133" s="129"/>
      <c r="V133" s="128"/>
      <c r="W133" s="135"/>
    </row>
    <row r="134" spans="2:23" ht="38.25" x14ac:dyDescent="0.25">
      <c r="B134" s="107" t="s">
        <v>345</v>
      </c>
      <c r="C134" s="29" t="s">
        <v>346</v>
      </c>
      <c r="D134" s="107">
        <v>0</v>
      </c>
      <c r="E134" s="107">
        <v>0</v>
      </c>
      <c r="F134" s="29">
        <v>0</v>
      </c>
      <c r="G134" s="107">
        <v>0</v>
      </c>
      <c r="H134" s="107">
        <f>SUM(H135)</f>
        <v>0</v>
      </c>
      <c r="I134" s="29">
        <f t="shared" ref="I134:S134" si="68">SUM(I135)</f>
        <v>0</v>
      </c>
      <c r="J134" s="107">
        <f t="shared" si="68"/>
        <v>1346002.9</v>
      </c>
      <c r="K134" s="107">
        <f t="shared" si="68"/>
        <v>1132178</v>
      </c>
      <c r="L134" s="29">
        <f t="shared" si="68"/>
        <v>320628</v>
      </c>
      <c r="M134" s="107">
        <f t="shared" si="68"/>
        <v>272533</v>
      </c>
      <c r="N134" s="107">
        <f t="shared" si="68"/>
        <v>0</v>
      </c>
      <c r="O134" s="29">
        <f t="shared" si="68"/>
        <v>0</v>
      </c>
      <c r="P134" s="107">
        <f t="shared" si="68"/>
        <v>0</v>
      </c>
      <c r="Q134" s="107">
        <f t="shared" si="68"/>
        <v>0</v>
      </c>
      <c r="R134" s="29">
        <f t="shared" si="68"/>
        <v>1666630.9</v>
      </c>
      <c r="S134" s="107">
        <f t="shared" si="68"/>
        <v>1404711</v>
      </c>
      <c r="T134" s="129"/>
      <c r="U134" s="129"/>
      <c r="V134" s="128"/>
      <c r="W134" s="135"/>
    </row>
    <row r="135" spans="2:23" ht="38.25" x14ac:dyDescent="0.25">
      <c r="B135" s="60" t="s">
        <v>347</v>
      </c>
      <c r="C135" s="60" t="s">
        <v>348</v>
      </c>
      <c r="D135" s="60">
        <v>0</v>
      </c>
      <c r="E135" s="60">
        <v>0</v>
      </c>
      <c r="F135" s="60">
        <v>0</v>
      </c>
      <c r="G135" s="60">
        <v>0</v>
      </c>
      <c r="H135" s="60">
        <f>SUM(H136:H137)</f>
        <v>0</v>
      </c>
      <c r="I135" s="60">
        <f t="shared" ref="I135:S135" si="69">SUM(I136:I137)</f>
        <v>0</v>
      </c>
      <c r="J135" s="60">
        <f t="shared" si="69"/>
        <v>1346002.9</v>
      </c>
      <c r="K135" s="60">
        <f t="shared" si="69"/>
        <v>1132178</v>
      </c>
      <c r="L135" s="60">
        <f>SUM(L136:L137)</f>
        <v>320628</v>
      </c>
      <c r="M135" s="60">
        <f t="shared" si="69"/>
        <v>272533</v>
      </c>
      <c r="N135" s="60">
        <f t="shared" si="69"/>
        <v>0</v>
      </c>
      <c r="O135" s="60">
        <f t="shared" si="69"/>
        <v>0</v>
      </c>
      <c r="P135" s="60">
        <f t="shared" si="69"/>
        <v>0</v>
      </c>
      <c r="Q135" s="60">
        <f t="shared" si="69"/>
        <v>0</v>
      </c>
      <c r="R135" s="60">
        <f t="shared" si="69"/>
        <v>1666630.9</v>
      </c>
      <c r="S135" s="60">
        <f t="shared" si="69"/>
        <v>1404711</v>
      </c>
      <c r="T135" s="153" t="s">
        <v>1060</v>
      </c>
      <c r="U135" s="129">
        <v>1404711</v>
      </c>
      <c r="V135" s="154">
        <f>U135-S135</f>
        <v>0</v>
      </c>
      <c r="W135" s="135"/>
    </row>
    <row r="136" spans="2:23" ht="109.5" hidden="1" customHeight="1" x14ac:dyDescent="0.25">
      <c r="B136" s="85" t="s">
        <v>349</v>
      </c>
      <c r="C136" s="51" t="s">
        <v>350</v>
      </c>
      <c r="D136" s="59">
        <v>0</v>
      </c>
      <c r="E136" s="59">
        <v>0</v>
      </c>
      <c r="F136" s="59">
        <v>0</v>
      </c>
      <c r="G136" s="58">
        <v>0</v>
      </c>
      <c r="H136" s="58">
        <v>0</v>
      </c>
      <c r="I136" s="58">
        <v>0</v>
      </c>
      <c r="J136" s="58">
        <v>0</v>
      </c>
      <c r="K136" s="58">
        <v>0</v>
      </c>
      <c r="L136" s="58">
        <f>'2 lentelė'!L134</f>
        <v>320628</v>
      </c>
      <c r="M136" s="58">
        <f>'2 lentelė'!Q134</f>
        <v>272533</v>
      </c>
      <c r="N136" s="58">
        <v>0</v>
      </c>
      <c r="O136" s="58">
        <v>0</v>
      </c>
      <c r="P136" s="58">
        <v>0</v>
      </c>
      <c r="Q136" s="58">
        <v>0</v>
      </c>
      <c r="R136" s="58">
        <f>D136+F136+H136+J136+L136+N136+P136</f>
        <v>320628</v>
      </c>
      <c r="S136" s="58">
        <f>E136+G136+I136+K136+M136+O136+Q136</f>
        <v>272533</v>
      </c>
      <c r="T136" s="129"/>
      <c r="U136" s="129"/>
      <c r="V136" s="128"/>
      <c r="W136" s="135"/>
    </row>
    <row r="137" spans="2:23" ht="25.5" hidden="1" x14ac:dyDescent="0.25">
      <c r="B137" s="85" t="s">
        <v>351</v>
      </c>
      <c r="C137" s="51" t="s">
        <v>352</v>
      </c>
      <c r="D137" s="59">
        <v>0</v>
      </c>
      <c r="E137" s="59">
        <v>0</v>
      </c>
      <c r="F137" s="59">
        <v>0</v>
      </c>
      <c r="G137" s="58">
        <v>0</v>
      </c>
      <c r="H137" s="58">
        <v>0</v>
      </c>
      <c r="I137" s="58">
        <v>0</v>
      </c>
      <c r="J137" s="58">
        <f>'2 lentelė'!L135</f>
        <v>1346002.9</v>
      </c>
      <c r="K137" s="58">
        <f>'2 lentelė'!Q135</f>
        <v>1132178</v>
      </c>
      <c r="L137" s="58">
        <v>0</v>
      </c>
      <c r="M137" s="58">
        <v>0</v>
      </c>
      <c r="N137" s="58">
        <v>0</v>
      </c>
      <c r="O137" s="58">
        <v>0</v>
      </c>
      <c r="P137" s="58">
        <v>0</v>
      </c>
      <c r="Q137" s="58">
        <v>0</v>
      </c>
      <c r="R137" s="58">
        <f>D137+F137+H137+J137+L137+N137+P137</f>
        <v>1346002.9</v>
      </c>
      <c r="S137" s="58">
        <f>E137+G137+I137+K137+M137+O137+Q137</f>
        <v>1132178</v>
      </c>
      <c r="T137" s="129"/>
      <c r="U137" s="129"/>
      <c r="V137" s="128"/>
      <c r="W137" s="135"/>
    </row>
    <row r="138" spans="2:23" ht="38.25" x14ac:dyDescent="0.25">
      <c r="B138" s="75" t="s">
        <v>353</v>
      </c>
      <c r="C138" s="76" t="s">
        <v>354</v>
      </c>
      <c r="D138" s="75">
        <f>D139+D156+ D164+D177+D185</f>
        <v>0</v>
      </c>
      <c r="E138" s="75">
        <f t="shared" ref="E138:S138" si="70">E139+E156+ E164+E177+E185</f>
        <v>0</v>
      </c>
      <c r="F138" s="75">
        <f t="shared" si="70"/>
        <v>0</v>
      </c>
      <c r="G138" s="75">
        <f t="shared" si="70"/>
        <v>0</v>
      </c>
      <c r="H138" s="75">
        <f t="shared" si="70"/>
        <v>2581906.2000000002</v>
      </c>
      <c r="I138" s="75">
        <f t="shared" si="70"/>
        <v>2194566.25</v>
      </c>
      <c r="J138" s="75">
        <f t="shared" si="70"/>
        <v>5508306.46</v>
      </c>
      <c r="K138" s="75">
        <f t="shared" si="70"/>
        <v>4784442.71</v>
      </c>
      <c r="L138" s="75">
        <f t="shared" si="70"/>
        <v>3717439.0200000005</v>
      </c>
      <c r="M138" s="75">
        <f t="shared" si="70"/>
        <v>2920431.96</v>
      </c>
      <c r="N138" s="75">
        <f t="shared" si="70"/>
        <v>862225.55</v>
      </c>
      <c r="O138" s="75">
        <f t="shared" si="70"/>
        <v>729712.95</v>
      </c>
      <c r="P138" s="75">
        <f t="shared" si="70"/>
        <v>0</v>
      </c>
      <c r="Q138" s="75">
        <f t="shared" si="70"/>
        <v>0</v>
      </c>
      <c r="R138" s="75">
        <f t="shared" si="70"/>
        <v>12933800.109999999</v>
      </c>
      <c r="S138" s="75">
        <f t="shared" si="70"/>
        <v>10629153.870000001</v>
      </c>
      <c r="T138" s="129"/>
      <c r="U138" s="129"/>
      <c r="V138" s="128"/>
      <c r="W138" s="135"/>
    </row>
    <row r="139" spans="2:23" ht="44.25" customHeight="1" x14ac:dyDescent="0.25">
      <c r="B139" s="107" t="s">
        <v>355</v>
      </c>
      <c r="C139" s="29" t="s">
        <v>356</v>
      </c>
      <c r="D139" s="107">
        <f>D140+D149</f>
        <v>0</v>
      </c>
      <c r="E139" s="107">
        <f t="shared" ref="E139:S139" si="71">E140+E149</f>
        <v>0</v>
      </c>
      <c r="F139" s="107">
        <f t="shared" si="71"/>
        <v>0</v>
      </c>
      <c r="G139" s="107">
        <f t="shared" si="71"/>
        <v>0</v>
      </c>
      <c r="H139" s="107">
        <f t="shared" si="71"/>
        <v>0</v>
      </c>
      <c r="I139" s="107">
        <f t="shared" si="71"/>
        <v>0</v>
      </c>
      <c r="J139" s="107">
        <f t="shared" si="71"/>
        <v>0</v>
      </c>
      <c r="K139" s="107">
        <f t="shared" si="71"/>
        <v>0</v>
      </c>
      <c r="L139" s="107">
        <f t="shared" si="71"/>
        <v>711352.43</v>
      </c>
      <c r="M139" s="107">
        <f t="shared" si="71"/>
        <v>604649.81999999995</v>
      </c>
      <c r="N139" s="107">
        <f t="shared" si="71"/>
        <v>634269.08000000007</v>
      </c>
      <c r="O139" s="107">
        <f t="shared" si="71"/>
        <v>535949.96</v>
      </c>
      <c r="P139" s="107">
        <f t="shared" si="71"/>
        <v>0</v>
      </c>
      <c r="Q139" s="107">
        <f t="shared" si="71"/>
        <v>0</v>
      </c>
      <c r="R139" s="107">
        <f t="shared" si="71"/>
        <v>1345621.51</v>
      </c>
      <c r="S139" s="107">
        <f t="shared" si="71"/>
        <v>1140599.78</v>
      </c>
      <c r="T139" s="129"/>
      <c r="U139" s="129"/>
      <c r="V139" s="128"/>
      <c r="W139" s="135"/>
    </row>
    <row r="140" spans="2:23" ht="63.75" x14ac:dyDescent="0.25">
      <c r="B140" s="60" t="s">
        <v>357</v>
      </c>
      <c r="C140" s="60" t="s">
        <v>358</v>
      </c>
      <c r="D140" s="60">
        <v>0</v>
      </c>
      <c r="E140" s="60">
        <v>0</v>
      </c>
      <c r="F140" s="60">
        <v>0</v>
      </c>
      <c r="G140" s="60">
        <v>0</v>
      </c>
      <c r="H140" s="60">
        <v>0</v>
      </c>
      <c r="I140" s="60">
        <v>0</v>
      </c>
      <c r="J140" s="60">
        <v>0</v>
      </c>
      <c r="K140" s="60">
        <v>0</v>
      </c>
      <c r="L140" s="113">
        <f>L141+L142+L143+L144+L145+L146+L147+L148</f>
        <v>669998</v>
      </c>
      <c r="M140" s="113">
        <f t="shared" ref="M140:S140" si="72">M141+M142+M143+M144+M145+M146+M147+M148</f>
        <v>569499.17999999993</v>
      </c>
      <c r="N140" s="113">
        <f t="shared" si="72"/>
        <v>634269.08000000007</v>
      </c>
      <c r="O140" s="113">
        <f t="shared" si="72"/>
        <v>535949.96</v>
      </c>
      <c r="P140" s="113">
        <f t="shared" si="72"/>
        <v>0</v>
      </c>
      <c r="Q140" s="113">
        <f t="shared" si="72"/>
        <v>0</v>
      </c>
      <c r="R140" s="113">
        <f t="shared" si="72"/>
        <v>1304267.08</v>
      </c>
      <c r="S140" s="113">
        <f t="shared" si="72"/>
        <v>1105449.1400000001</v>
      </c>
      <c r="T140" s="153" t="s">
        <v>1071</v>
      </c>
      <c r="U140" s="155">
        <v>1148819</v>
      </c>
      <c r="V140" s="156">
        <f>U140-S140</f>
        <v>43369.85999999987</v>
      </c>
      <c r="W140" s="135"/>
    </row>
    <row r="141" spans="2:23" ht="94.5" hidden="1" customHeight="1" x14ac:dyDescent="0.25">
      <c r="B141" s="51" t="s">
        <v>968</v>
      </c>
      <c r="C141" s="51" t="s">
        <v>980</v>
      </c>
      <c r="D141" s="51">
        <v>0</v>
      </c>
      <c r="E141" s="51">
        <v>0</v>
      </c>
      <c r="F141" s="51">
        <v>0</v>
      </c>
      <c r="G141" s="51">
        <v>0</v>
      </c>
      <c r="H141" s="51">
        <v>0</v>
      </c>
      <c r="I141" s="51">
        <v>0</v>
      </c>
      <c r="J141" s="51">
        <v>0</v>
      </c>
      <c r="K141" s="51">
        <v>0</v>
      </c>
      <c r="L141" s="51">
        <f>'2 lentelė'!L139</f>
        <v>246940.54</v>
      </c>
      <c r="M141" s="51">
        <f>'2 lentelė'!Q139</f>
        <v>209899.44</v>
      </c>
      <c r="N141" s="51">
        <v>0</v>
      </c>
      <c r="O141" s="51">
        <v>0</v>
      </c>
      <c r="P141" s="51">
        <v>0</v>
      </c>
      <c r="Q141" s="51">
        <v>0</v>
      </c>
      <c r="R141" s="51">
        <f t="shared" ref="R141:S147" si="73">L141+N141+P141</f>
        <v>246940.54</v>
      </c>
      <c r="S141" s="51">
        <f t="shared" si="73"/>
        <v>209899.44</v>
      </c>
      <c r="T141" s="129"/>
      <c r="U141" s="129"/>
      <c r="V141" s="128"/>
      <c r="W141" s="135"/>
    </row>
    <row r="142" spans="2:23" ht="57.75" hidden="1" customHeight="1" x14ac:dyDescent="0.25">
      <c r="B142" s="51" t="s">
        <v>969</v>
      </c>
      <c r="C142" s="51" t="s">
        <v>986</v>
      </c>
      <c r="D142" s="51">
        <v>0</v>
      </c>
      <c r="E142" s="51">
        <v>0</v>
      </c>
      <c r="F142" s="51">
        <v>0</v>
      </c>
      <c r="G142" s="51">
        <v>0</v>
      </c>
      <c r="H142" s="51">
        <v>0</v>
      </c>
      <c r="I142" s="51">
        <v>0</v>
      </c>
      <c r="J142" s="51">
        <v>0</v>
      </c>
      <c r="K142" s="51">
        <v>0</v>
      </c>
      <c r="L142" s="51">
        <v>0</v>
      </c>
      <c r="M142" s="51">
        <v>0</v>
      </c>
      <c r="N142" s="51">
        <f>'2 lentelė'!L140</f>
        <v>105925.23</v>
      </c>
      <c r="O142" s="51">
        <f>'2 lentelė'!Q140</f>
        <v>90036.45</v>
      </c>
      <c r="P142" s="51">
        <v>0</v>
      </c>
      <c r="Q142" s="51">
        <v>0</v>
      </c>
      <c r="R142" s="51">
        <f t="shared" si="73"/>
        <v>105925.23</v>
      </c>
      <c r="S142" s="51">
        <f t="shared" si="73"/>
        <v>90036.45</v>
      </c>
      <c r="T142" s="129"/>
      <c r="U142" s="129"/>
      <c r="V142" s="128"/>
      <c r="W142" s="135"/>
    </row>
    <row r="143" spans="2:23" ht="96" hidden="1" customHeight="1" x14ac:dyDescent="0.25">
      <c r="B143" s="51" t="s">
        <v>970</v>
      </c>
      <c r="C143" s="51" t="s">
        <v>989</v>
      </c>
      <c r="D143" s="51">
        <v>0</v>
      </c>
      <c r="E143" s="51">
        <v>0</v>
      </c>
      <c r="F143" s="51">
        <v>0</v>
      </c>
      <c r="G143" s="51">
        <v>0</v>
      </c>
      <c r="H143" s="51">
        <v>0</v>
      </c>
      <c r="I143" s="51">
        <v>0</v>
      </c>
      <c r="J143" s="51">
        <v>0</v>
      </c>
      <c r="K143" s="51">
        <v>0</v>
      </c>
      <c r="L143" s="51">
        <f>'2 lentelė'!L141</f>
        <v>86991.46</v>
      </c>
      <c r="M143" s="51">
        <f>'2 lentelė'!Q141</f>
        <v>73942.740000000005</v>
      </c>
      <c r="N143" s="51">
        <v>0</v>
      </c>
      <c r="O143" s="51">
        <v>0</v>
      </c>
      <c r="P143" s="51">
        <v>0</v>
      </c>
      <c r="Q143" s="51">
        <v>0</v>
      </c>
      <c r="R143" s="51">
        <f t="shared" si="73"/>
        <v>86991.46</v>
      </c>
      <c r="S143" s="51">
        <f t="shared" si="73"/>
        <v>73942.740000000005</v>
      </c>
      <c r="T143" s="129"/>
      <c r="U143" s="129"/>
      <c r="V143" s="128"/>
      <c r="W143" s="135"/>
    </row>
    <row r="144" spans="2:23" ht="60.75" hidden="1" customHeight="1" x14ac:dyDescent="0.25">
      <c r="B144" s="51" t="s">
        <v>971</v>
      </c>
      <c r="C144" s="51" t="s">
        <v>991</v>
      </c>
      <c r="D144" s="51">
        <v>0</v>
      </c>
      <c r="E144" s="51">
        <v>0</v>
      </c>
      <c r="F144" s="51">
        <v>0</v>
      </c>
      <c r="G144" s="51">
        <v>0</v>
      </c>
      <c r="H144" s="51">
        <v>0</v>
      </c>
      <c r="I144" s="51">
        <v>0</v>
      </c>
      <c r="J144" s="51">
        <v>0</v>
      </c>
      <c r="K144" s="51">
        <v>0</v>
      </c>
      <c r="L144" s="62">
        <f>'2 lentelė'!L142</f>
        <v>182486</v>
      </c>
      <c r="M144" s="62">
        <f>'2 lentelė'!Q142</f>
        <v>155114</v>
      </c>
      <c r="N144" s="51">
        <v>0</v>
      </c>
      <c r="O144" s="51">
        <v>0</v>
      </c>
      <c r="P144" s="51">
        <v>0</v>
      </c>
      <c r="Q144" s="51">
        <v>0</v>
      </c>
      <c r="R144" s="51">
        <f t="shared" si="73"/>
        <v>182486</v>
      </c>
      <c r="S144" s="51">
        <f t="shared" si="73"/>
        <v>155114</v>
      </c>
      <c r="T144" s="129"/>
      <c r="U144" s="129"/>
      <c r="V144" s="128"/>
      <c r="W144" s="135"/>
    </row>
    <row r="145" spans="2:25" ht="49.5" hidden="1" customHeight="1" x14ac:dyDescent="0.25">
      <c r="B145" s="51" t="s">
        <v>972</v>
      </c>
      <c r="C145" s="51" t="s">
        <v>993</v>
      </c>
      <c r="D145" s="51">
        <v>0</v>
      </c>
      <c r="E145" s="51">
        <v>0</v>
      </c>
      <c r="F145" s="51">
        <v>0</v>
      </c>
      <c r="G145" s="51">
        <v>0</v>
      </c>
      <c r="H145" s="51">
        <v>0</v>
      </c>
      <c r="I145" s="51">
        <v>0</v>
      </c>
      <c r="J145" s="51">
        <v>0</v>
      </c>
      <c r="K145" s="51">
        <v>0</v>
      </c>
      <c r="L145" s="51">
        <v>0</v>
      </c>
      <c r="M145" s="51">
        <v>0</v>
      </c>
      <c r="N145" s="51">
        <f>'2 lentelė'!L143</f>
        <v>294117.65000000002</v>
      </c>
      <c r="O145" s="62">
        <f>'2 lentelė'!Q143</f>
        <v>250000</v>
      </c>
      <c r="P145" s="51">
        <v>0</v>
      </c>
      <c r="Q145" s="51">
        <v>0</v>
      </c>
      <c r="R145" s="51">
        <f t="shared" si="73"/>
        <v>294117.65000000002</v>
      </c>
      <c r="S145" s="51">
        <f t="shared" si="73"/>
        <v>250000</v>
      </c>
      <c r="T145" s="129"/>
      <c r="U145" s="129"/>
      <c r="V145" s="128"/>
      <c r="W145" s="135"/>
    </row>
    <row r="146" spans="2:25" ht="49.5" hidden="1" customHeight="1" x14ac:dyDescent="0.25">
      <c r="B146" s="51" t="s">
        <v>973</v>
      </c>
      <c r="C146" s="51" t="s">
        <v>996</v>
      </c>
      <c r="D146" s="51">
        <v>0</v>
      </c>
      <c r="E146" s="51">
        <v>0</v>
      </c>
      <c r="F146" s="51">
        <v>0</v>
      </c>
      <c r="G146" s="51">
        <v>0</v>
      </c>
      <c r="H146" s="51">
        <v>0</v>
      </c>
      <c r="I146" s="51">
        <v>0</v>
      </c>
      <c r="J146" s="51">
        <v>0</v>
      </c>
      <c r="K146" s="51">
        <v>0</v>
      </c>
      <c r="L146" s="51">
        <v>0</v>
      </c>
      <c r="M146" s="51">
        <v>0</v>
      </c>
      <c r="N146" s="62">
        <f>'2 lentelė'!L144</f>
        <v>34226.199999999997</v>
      </c>
      <c r="O146" s="62">
        <f>'2 lentelė'!Q144</f>
        <v>25913.51</v>
      </c>
      <c r="P146" s="51">
        <v>0</v>
      </c>
      <c r="Q146" s="51">
        <v>0</v>
      </c>
      <c r="R146" s="51">
        <f t="shared" si="73"/>
        <v>34226.199999999997</v>
      </c>
      <c r="S146" s="51">
        <f t="shared" si="73"/>
        <v>25913.51</v>
      </c>
      <c r="T146" s="129"/>
      <c r="U146" s="129"/>
      <c r="V146" s="128"/>
      <c r="W146" s="135"/>
    </row>
    <row r="147" spans="2:25" ht="78.75" hidden="1" customHeight="1" x14ac:dyDescent="0.25">
      <c r="B147" s="51" t="s">
        <v>994</v>
      </c>
      <c r="C147" s="51" t="s">
        <v>998</v>
      </c>
      <c r="D147" s="51">
        <v>0</v>
      </c>
      <c r="E147" s="51">
        <v>0</v>
      </c>
      <c r="F147" s="51">
        <v>0</v>
      </c>
      <c r="G147" s="51">
        <v>0</v>
      </c>
      <c r="H147" s="51">
        <v>0</v>
      </c>
      <c r="I147" s="51">
        <v>0</v>
      </c>
      <c r="J147" s="51">
        <v>0</v>
      </c>
      <c r="K147" s="51">
        <v>0</v>
      </c>
      <c r="L147" s="62">
        <f>'2 lentelė'!L145</f>
        <v>153580</v>
      </c>
      <c r="M147" s="62">
        <f>'2 lentelė'!Q145</f>
        <v>130543</v>
      </c>
      <c r="N147" s="51">
        <v>0</v>
      </c>
      <c r="O147" s="63">
        <v>0</v>
      </c>
      <c r="P147" s="51">
        <v>0</v>
      </c>
      <c r="Q147" s="51">
        <v>0</v>
      </c>
      <c r="R147" s="51">
        <f t="shared" si="73"/>
        <v>153580</v>
      </c>
      <c r="S147" s="51">
        <f t="shared" si="73"/>
        <v>130543</v>
      </c>
      <c r="T147" s="129"/>
      <c r="U147" s="129"/>
      <c r="V147" s="128"/>
      <c r="W147" s="135"/>
    </row>
    <row r="148" spans="2:25" ht="59.25" hidden="1" customHeight="1" x14ac:dyDescent="0.25">
      <c r="B148" s="51" t="s">
        <v>995</v>
      </c>
      <c r="C148" s="51" t="s">
        <v>1004</v>
      </c>
      <c r="D148" s="51">
        <v>0</v>
      </c>
      <c r="E148" s="51">
        <v>0</v>
      </c>
      <c r="F148" s="51">
        <v>0</v>
      </c>
      <c r="G148" s="51">
        <v>0</v>
      </c>
      <c r="H148" s="51">
        <v>0</v>
      </c>
      <c r="I148" s="51">
        <v>0</v>
      </c>
      <c r="J148" s="51">
        <v>0</v>
      </c>
      <c r="K148" s="51">
        <v>0</v>
      </c>
      <c r="L148" s="62">
        <v>0</v>
      </c>
      <c r="M148" s="62">
        <v>0</v>
      </c>
      <c r="N148" s="62">
        <f>'2 lentelė'!L146</f>
        <v>200000</v>
      </c>
      <c r="O148" s="51">
        <f>'2 lentelė'!Q146</f>
        <v>170000</v>
      </c>
      <c r="P148" s="51">
        <v>0</v>
      </c>
      <c r="Q148" s="51">
        <v>0</v>
      </c>
      <c r="R148" s="51">
        <f t="shared" ref="R148" si="74">L148+N148+P148</f>
        <v>200000</v>
      </c>
      <c r="S148" s="51">
        <f t="shared" ref="S148" si="75">M148+O148+Q148</f>
        <v>170000</v>
      </c>
      <c r="T148" s="129"/>
      <c r="U148" s="129"/>
      <c r="V148" s="128"/>
      <c r="W148" s="135"/>
    </row>
    <row r="149" spans="2:25" ht="102" customHeight="1" x14ac:dyDescent="0.25">
      <c r="B149" s="60" t="s">
        <v>359</v>
      </c>
      <c r="C149" s="60" t="s">
        <v>360</v>
      </c>
      <c r="D149" s="60">
        <f>SUM(D150:D155)</f>
        <v>0</v>
      </c>
      <c r="E149" s="60">
        <f t="shared" ref="E149:S149" si="76">SUM(E150:E155)</f>
        <v>0</v>
      </c>
      <c r="F149" s="60">
        <f t="shared" si="76"/>
        <v>0</v>
      </c>
      <c r="G149" s="60">
        <f t="shared" si="76"/>
        <v>0</v>
      </c>
      <c r="H149" s="60">
        <f t="shared" si="76"/>
        <v>0</v>
      </c>
      <c r="I149" s="60">
        <f t="shared" si="76"/>
        <v>0</v>
      </c>
      <c r="J149" s="60">
        <f t="shared" si="76"/>
        <v>0</v>
      </c>
      <c r="K149" s="60">
        <f t="shared" si="76"/>
        <v>0</v>
      </c>
      <c r="L149" s="60">
        <f>SUM(L150:L155)</f>
        <v>41354.43</v>
      </c>
      <c r="M149" s="60">
        <f t="shared" si="76"/>
        <v>35150.640000000007</v>
      </c>
      <c r="N149" s="60">
        <f t="shared" si="76"/>
        <v>0</v>
      </c>
      <c r="O149" s="60">
        <f t="shared" si="76"/>
        <v>0</v>
      </c>
      <c r="P149" s="60">
        <f t="shared" si="76"/>
        <v>0</v>
      </c>
      <c r="Q149" s="60">
        <f t="shared" si="76"/>
        <v>0</v>
      </c>
      <c r="R149" s="60">
        <f t="shared" si="76"/>
        <v>41354.43</v>
      </c>
      <c r="S149" s="113">
        <f t="shared" si="76"/>
        <v>35150.640000000007</v>
      </c>
      <c r="T149" s="153" t="s">
        <v>1061</v>
      </c>
      <c r="U149" s="129">
        <v>35151</v>
      </c>
      <c r="V149" s="157">
        <f>U149-S149</f>
        <v>0.35999999999330612</v>
      </c>
      <c r="W149" s="135"/>
    </row>
    <row r="150" spans="2:25" ht="51" hidden="1" customHeight="1" x14ac:dyDescent="0.25">
      <c r="B150" s="85" t="s">
        <v>361</v>
      </c>
      <c r="C150" s="51" t="s">
        <v>362</v>
      </c>
      <c r="D150" s="59">
        <v>0</v>
      </c>
      <c r="E150" s="59">
        <v>0</v>
      </c>
      <c r="F150" s="59">
        <v>0</v>
      </c>
      <c r="G150" s="58">
        <v>0</v>
      </c>
      <c r="H150" s="58">
        <v>0</v>
      </c>
      <c r="I150" s="58">
        <v>0</v>
      </c>
      <c r="J150" s="58">
        <v>0</v>
      </c>
      <c r="K150" s="58">
        <v>0</v>
      </c>
      <c r="L150" s="58">
        <f>'2 lentelė'!L148</f>
        <v>13180</v>
      </c>
      <c r="M150" s="58">
        <f>'2 lentelė'!Q148</f>
        <v>11202</v>
      </c>
      <c r="N150" s="58">
        <v>0</v>
      </c>
      <c r="O150" s="58">
        <v>0</v>
      </c>
      <c r="P150" s="58">
        <v>0</v>
      </c>
      <c r="Q150" s="58">
        <v>0</v>
      </c>
      <c r="R150" s="58">
        <f t="shared" ref="R150:S153" si="77">D150+F150+H150+J150+L150+N150+P150</f>
        <v>13180</v>
      </c>
      <c r="S150" s="58">
        <f t="shared" si="77"/>
        <v>11202</v>
      </c>
      <c r="T150" s="129"/>
      <c r="U150" s="129"/>
      <c r="V150" s="129"/>
      <c r="W150" s="137"/>
      <c r="X150" s="105"/>
      <c r="Y150" s="105"/>
    </row>
    <row r="151" spans="2:25" ht="51" hidden="1" customHeight="1" x14ac:dyDescent="0.25">
      <c r="B151" s="85" t="s">
        <v>363</v>
      </c>
      <c r="C151" s="51" t="s">
        <v>364</v>
      </c>
      <c r="D151" s="59">
        <v>0</v>
      </c>
      <c r="E151" s="59">
        <v>0</v>
      </c>
      <c r="F151" s="59">
        <v>0</v>
      </c>
      <c r="G151" s="58">
        <v>0</v>
      </c>
      <c r="H151" s="58">
        <v>0</v>
      </c>
      <c r="I151" s="58">
        <v>0</v>
      </c>
      <c r="J151" s="58">
        <v>0</v>
      </c>
      <c r="K151" s="58">
        <v>0</v>
      </c>
      <c r="L151" s="58">
        <f>'2 lentelė'!L149</f>
        <v>6134.9299999999994</v>
      </c>
      <c r="M151" s="58">
        <f>'2 lentelė'!Q149</f>
        <v>5214.6900000000005</v>
      </c>
      <c r="N151" s="58">
        <v>0</v>
      </c>
      <c r="O151" s="58">
        <v>0</v>
      </c>
      <c r="P151" s="58">
        <v>0</v>
      </c>
      <c r="Q151" s="58">
        <v>0</v>
      </c>
      <c r="R151" s="58">
        <f>D151+F151+H151+J151+L151+N151+P151</f>
        <v>6134.9299999999994</v>
      </c>
      <c r="S151" s="58">
        <f t="shared" si="77"/>
        <v>5214.6900000000005</v>
      </c>
      <c r="T151" s="129"/>
      <c r="U151" s="129"/>
      <c r="V151" s="129"/>
      <c r="W151" s="137"/>
      <c r="X151" s="105"/>
      <c r="Y151" s="105"/>
    </row>
    <row r="152" spans="2:25" ht="63.75" hidden="1" customHeight="1" x14ac:dyDescent="0.25">
      <c r="B152" s="85" t="s">
        <v>365</v>
      </c>
      <c r="C152" s="51" t="s">
        <v>366</v>
      </c>
      <c r="D152" s="59">
        <v>0</v>
      </c>
      <c r="E152" s="59">
        <v>0</v>
      </c>
      <c r="F152" s="59">
        <v>0</v>
      </c>
      <c r="G152" s="58">
        <v>0</v>
      </c>
      <c r="H152" s="58">
        <v>0</v>
      </c>
      <c r="I152" s="58">
        <v>0</v>
      </c>
      <c r="J152" s="58">
        <v>0</v>
      </c>
      <c r="K152" s="58">
        <v>0</v>
      </c>
      <c r="L152" s="58">
        <f>'2 lentelė'!L150</f>
        <v>7725.47</v>
      </c>
      <c r="M152" s="58">
        <f>'2 lentelė'!Q150</f>
        <v>6566.65</v>
      </c>
      <c r="N152" s="58">
        <v>0</v>
      </c>
      <c r="O152" s="58">
        <v>0</v>
      </c>
      <c r="P152" s="58">
        <v>0</v>
      </c>
      <c r="Q152" s="58">
        <v>0</v>
      </c>
      <c r="R152" s="58">
        <f t="shared" si="77"/>
        <v>7725.47</v>
      </c>
      <c r="S152" s="58">
        <f t="shared" si="77"/>
        <v>6566.65</v>
      </c>
      <c r="T152" s="129"/>
      <c r="U152" s="129"/>
      <c r="V152" s="129"/>
      <c r="W152" s="137"/>
      <c r="X152" s="105"/>
      <c r="Y152" s="105"/>
    </row>
    <row r="153" spans="2:25" ht="102" hidden="1" customHeight="1" x14ac:dyDescent="0.25">
      <c r="B153" s="85" t="s">
        <v>367</v>
      </c>
      <c r="C153" s="51" t="s">
        <v>368</v>
      </c>
      <c r="D153" s="59">
        <v>0</v>
      </c>
      <c r="E153" s="59">
        <v>0</v>
      </c>
      <c r="F153" s="59">
        <v>0</v>
      </c>
      <c r="G153" s="58">
        <v>0</v>
      </c>
      <c r="H153" s="58">
        <v>0</v>
      </c>
      <c r="I153" s="58">
        <v>0</v>
      </c>
      <c r="J153" s="58">
        <v>0</v>
      </c>
      <c r="K153" s="58">
        <v>0</v>
      </c>
      <c r="L153" s="58">
        <f>'2 lentelė'!L151</f>
        <v>5453.27</v>
      </c>
      <c r="M153" s="58">
        <f>'2 lentelė'!Q151</f>
        <v>4635.28</v>
      </c>
      <c r="N153" s="58">
        <v>0</v>
      </c>
      <c r="O153" s="58">
        <v>0</v>
      </c>
      <c r="P153" s="58">
        <v>0</v>
      </c>
      <c r="Q153" s="58">
        <v>0</v>
      </c>
      <c r="R153" s="58">
        <f t="shared" si="77"/>
        <v>5453.27</v>
      </c>
      <c r="S153" s="58">
        <f t="shared" si="77"/>
        <v>4635.28</v>
      </c>
      <c r="T153" s="129"/>
      <c r="U153" s="129"/>
      <c r="V153" s="129"/>
      <c r="W153" s="137"/>
      <c r="X153" s="105"/>
      <c r="Y153" s="105"/>
    </row>
    <row r="154" spans="2:25" ht="63.75" hidden="1" customHeight="1" x14ac:dyDescent="0.25">
      <c r="B154" s="85" t="s">
        <v>369</v>
      </c>
      <c r="C154" s="51" t="s">
        <v>370</v>
      </c>
      <c r="D154" s="59">
        <v>0</v>
      </c>
      <c r="E154" s="59">
        <v>0</v>
      </c>
      <c r="F154" s="59">
        <v>0</v>
      </c>
      <c r="G154" s="58">
        <v>0</v>
      </c>
      <c r="H154" s="58">
        <v>0</v>
      </c>
      <c r="I154" s="58">
        <v>0</v>
      </c>
      <c r="J154" s="58">
        <v>0</v>
      </c>
      <c r="K154" s="58">
        <v>0</v>
      </c>
      <c r="L154" s="58">
        <f>'2 lentelė'!L152</f>
        <v>2271.7600000000002</v>
      </c>
      <c r="M154" s="58">
        <f>'2 lentelė'!Q152</f>
        <v>1931.38</v>
      </c>
      <c r="N154" s="58">
        <v>0</v>
      </c>
      <c r="O154" s="58">
        <v>0</v>
      </c>
      <c r="P154" s="58">
        <v>0</v>
      </c>
      <c r="Q154" s="58">
        <v>0</v>
      </c>
      <c r="R154" s="58">
        <f>D154+F154+H154+J154+L154+N154+P154</f>
        <v>2271.7600000000002</v>
      </c>
      <c r="S154" s="58">
        <f>E154+G154+I154+K154+M154+O154+Q154</f>
        <v>1931.38</v>
      </c>
      <c r="T154" s="129"/>
      <c r="U154" s="129"/>
      <c r="V154" s="129"/>
      <c r="W154" s="137"/>
      <c r="X154" s="105"/>
      <c r="Y154" s="105"/>
    </row>
    <row r="155" spans="2:25" ht="102" hidden="1" customHeight="1" x14ac:dyDescent="0.25">
      <c r="B155" s="85" t="s">
        <v>371</v>
      </c>
      <c r="C155" s="51" t="s">
        <v>372</v>
      </c>
      <c r="D155" s="59">
        <v>0</v>
      </c>
      <c r="E155" s="59">
        <v>0</v>
      </c>
      <c r="F155" s="59">
        <v>0</v>
      </c>
      <c r="G155" s="58">
        <v>0</v>
      </c>
      <c r="H155" s="58">
        <v>0</v>
      </c>
      <c r="I155" s="58">
        <v>0</v>
      </c>
      <c r="J155" s="58">
        <v>0</v>
      </c>
      <c r="K155" s="58">
        <v>0</v>
      </c>
      <c r="L155" s="58">
        <f>'2 lentelė'!L153</f>
        <v>6589</v>
      </c>
      <c r="M155" s="58">
        <f>'2 lentelė'!Q153</f>
        <v>5600.64</v>
      </c>
      <c r="N155" s="58">
        <v>0</v>
      </c>
      <c r="O155" s="58">
        <v>0</v>
      </c>
      <c r="P155" s="58">
        <v>0</v>
      </c>
      <c r="Q155" s="58">
        <v>0</v>
      </c>
      <c r="R155" s="58">
        <f>D155+F155+H155+J155+L155+N155+P155</f>
        <v>6589</v>
      </c>
      <c r="S155" s="58">
        <f>E155+G155+I155+K155+M155+O155+Q155</f>
        <v>5600.64</v>
      </c>
      <c r="T155" s="129"/>
      <c r="U155" s="129"/>
      <c r="V155" s="129"/>
      <c r="W155" s="137"/>
      <c r="X155" s="105"/>
      <c r="Y155" s="105"/>
    </row>
    <row r="156" spans="2:25" ht="51" customHeight="1" x14ac:dyDescent="0.25">
      <c r="B156" s="107" t="s">
        <v>373</v>
      </c>
      <c r="C156" s="29" t="s">
        <v>374</v>
      </c>
      <c r="D156" s="107">
        <f>D157</f>
        <v>0</v>
      </c>
      <c r="E156" s="107">
        <f t="shared" ref="E156:S156" si="78">E157</f>
        <v>0</v>
      </c>
      <c r="F156" s="107">
        <f t="shared" si="78"/>
        <v>0</v>
      </c>
      <c r="G156" s="29">
        <f t="shared" si="78"/>
        <v>0</v>
      </c>
      <c r="H156" s="107">
        <f t="shared" si="78"/>
        <v>0</v>
      </c>
      <c r="I156" s="107">
        <f t="shared" si="78"/>
        <v>0</v>
      </c>
      <c r="J156" s="107">
        <f t="shared" si="78"/>
        <v>0</v>
      </c>
      <c r="K156" s="29">
        <f t="shared" si="78"/>
        <v>0</v>
      </c>
      <c r="L156" s="107">
        <f t="shared" si="78"/>
        <v>969250.43</v>
      </c>
      <c r="M156" s="107">
        <f t="shared" si="78"/>
        <v>823862.25</v>
      </c>
      <c r="N156" s="107">
        <f t="shared" si="78"/>
        <v>0</v>
      </c>
      <c r="O156" s="29">
        <f t="shared" si="78"/>
        <v>0</v>
      </c>
      <c r="P156" s="107">
        <f t="shared" si="78"/>
        <v>0</v>
      </c>
      <c r="Q156" s="107">
        <f t="shared" si="78"/>
        <v>0</v>
      </c>
      <c r="R156" s="107">
        <f t="shared" si="78"/>
        <v>969250.43</v>
      </c>
      <c r="S156" s="29">
        <f t="shared" si="78"/>
        <v>823862.25</v>
      </c>
      <c r="T156" s="129"/>
      <c r="U156" s="129"/>
      <c r="V156" s="128"/>
      <c r="W156" s="135"/>
    </row>
    <row r="157" spans="2:25" ht="59.25" customHeight="1" x14ac:dyDescent="0.25">
      <c r="B157" s="60" t="s">
        <v>375</v>
      </c>
      <c r="C157" s="60" t="s">
        <v>376</v>
      </c>
      <c r="D157" s="60">
        <f t="shared" ref="D157:S157" si="79">D158+D159+D160+D161+D162+D163</f>
        <v>0</v>
      </c>
      <c r="E157" s="60">
        <f t="shared" si="79"/>
        <v>0</v>
      </c>
      <c r="F157" s="60">
        <f t="shared" si="79"/>
        <v>0</v>
      </c>
      <c r="G157" s="60">
        <f t="shared" si="79"/>
        <v>0</v>
      </c>
      <c r="H157" s="60">
        <f t="shared" si="79"/>
        <v>0</v>
      </c>
      <c r="I157" s="60">
        <f t="shared" si="79"/>
        <v>0</v>
      </c>
      <c r="J157" s="60">
        <f t="shared" si="79"/>
        <v>0</v>
      </c>
      <c r="K157" s="60">
        <f t="shared" si="79"/>
        <v>0</v>
      </c>
      <c r="L157" s="60">
        <f t="shared" si="79"/>
        <v>969250.43</v>
      </c>
      <c r="M157" s="60">
        <f t="shared" si="79"/>
        <v>823862.25</v>
      </c>
      <c r="N157" s="60">
        <f t="shared" si="79"/>
        <v>0</v>
      </c>
      <c r="O157" s="60">
        <f t="shared" si="79"/>
        <v>0</v>
      </c>
      <c r="P157" s="60">
        <f t="shared" si="79"/>
        <v>0</v>
      </c>
      <c r="Q157" s="60">
        <f t="shared" si="79"/>
        <v>0</v>
      </c>
      <c r="R157" s="60">
        <f t="shared" si="79"/>
        <v>969250.43</v>
      </c>
      <c r="S157" s="60">
        <f t="shared" si="79"/>
        <v>823862.25</v>
      </c>
      <c r="T157" s="153" t="s">
        <v>1069</v>
      </c>
      <c r="U157" s="129">
        <v>845738</v>
      </c>
      <c r="V157" s="154">
        <f>U157-S157</f>
        <v>21875.75</v>
      </c>
      <c r="W157" s="135"/>
    </row>
    <row r="158" spans="2:25" ht="38.25" hidden="1" customHeight="1" x14ac:dyDescent="0.25">
      <c r="B158" s="85" t="s">
        <v>377</v>
      </c>
      <c r="C158" s="51" t="s">
        <v>378</v>
      </c>
      <c r="D158" s="59">
        <v>0</v>
      </c>
      <c r="E158" s="59">
        <v>0</v>
      </c>
      <c r="F158" s="59">
        <v>0</v>
      </c>
      <c r="G158" s="58">
        <v>0</v>
      </c>
      <c r="H158" s="58">
        <v>0</v>
      </c>
      <c r="I158" s="58">
        <v>0</v>
      </c>
      <c r="J158" s="58">
        <v>0</v>
      </c>
      <c r="K158" s="58">
        <v>0</v>
      </c>
      <c r="L158" s="58">
        <f>'2 lentelė'!L156</f>
        <v>228408.24</v>
      </c>
      <c r="M158" s="58">
        <f>'2 lentelė'!Q156</f>
        <v>194147</v>
      </c>
      <c r="N158" s="58">
        <v>0</v>
      </c>
      <c r="O158" s="58">
        <v>0</v>
      </c>
      <c r="P158" s="58">
        <v>0</v>
      </c>
      <c r="Q158" s="58">
        <v>0</v>
      </c>
      <c r="R158" s="58">
        <f t="shared" ref="R158:S163" si="80">D158+F158+H158+J158+L158+N158+P158</f>
        <v>228408.24</v>
      </c>
      <c r="S158" s="58">
        <f t="shared" si="80"/>
        <v>194147</v>
      </c>
      <c r="T158" s="129"/>
      <c r="U158" s="129"/>
      <c r="V158" s="128"/>
      <c r="W158" s="135"/>
    </row>
    <row r="159" spans="2:25" ht="38.25" hidden="1" customHeight="1" x14ac:dyDescent="0.25">
      <c r="B159" s="85" t="s">
        <v>379</v>
      </c>
      <c r="C159" s="51" t="s">
        <v>380</v>
      </c>
      <c r="D159" s="59">
        <v>0</v>
      </c>
      <c r="E159" s="59">
        <v>0</v>
      </c>
      <c r="F159" s="59">
        <v>0</v>
      </c>
      <c r="G159" s="58">
        <v>0</v>
      </c>
      <c r="H159" s="58">
        <v>0</v>
      </c>
      <c r="I159" s="58">
        <v>0</v>
      </c>
      <c r="J159" s="58">
        <v>0</v>
      </c>
      <c r="K159" s="58">
        <v>0</v>
      </c>
      <c r="L159" s="58">
        <f>'2 lentelė'!L157</f>
        <v>207636</v>
      </c>
      <c r="M159" s="58">
        <f>'2 lentelė'!Q157</f>
        <v>176490</v>
      </c>
      <c r="N159" s="58">
        <v>0</v>
      </c>
      <c r="O159" s="58">
        <v>0</v>
      </c>
      <c r="P159" s="58">
        <v>0</v>
      </c>
      <c r="Q159" s="58">
        <v>0</v>
      </c>
      <c r="R159" s="58">
        <f t="shared" si="80"/>
        <v>207636</v>
      </c>
      <c r="S159" s="58">
        <f t="shared" si="80"/>
        <v>176490</v>
      </c>
      <c r="T159" s="129"/>
      <c r="U159" s="129"/>
      <c r="V159" s="128"/>
      <c r="W159" s="135"/>
    </row>
    <row r="160" spans="2:25" ht="38.25" hidden="1" customHeight="1" x14ac:dyDescent="0.25">
      <c r="B160" s="85" t="s">
        <v>381</v>
      </c>
      <c r="C160" s="51" t="s">
        <v>382</v>
      </c>
      <c r="D160" s="59">
        <v>0</v>
      </c>
      <c r="E160" s="59">
        <v>0</v>
      </c>
      <c r="F160" s="59">
        <v>0</v>
      </c>
      <c r="G160" s="58">
        <v>0</v>
      </c>
      <c r="H160" s="58">
        <v>0</v>
      </c>
      <c r="I160" s="58">
        <v>0</v>
      </c>
      <c r="J160" s="58">
        <v>0</v>
      </c>
      <c r="K160" s="58">
        <v>0</v>
      </c>
      <c r="L160" s="58">
        <f>'2 lentelė'!L158</f>
        <v>291706.14</v>
      </c>
      <c r="M160" s="58">
        <f>'2 lentelė'!Q158</f>
        <v>247950.21</v>
      </c>
      <c r="N160" s="58">
        <v>0</v>
      </c>
      <c r="O160" s="58">
        <v>0</v>
      </c>
      <c r="P160" s="58">
        <v>0</v>
      </c>
      <c r="Q160" s="58">
        <v>0</v>
      </c>
      <c r="R160" s="58">
        <f t="shared" si="80"/>
        <v>291706.14</v>
      </c>
      <c r="S160" s="58">
        <f t="shared" si="80"/>
        <v>247950.21</v>
      </c>
      <c r="T160" s="129"/>
      <c r="U160" s="129"/>
      <c r="V160" s="128"/>
      <c r="W160" s="135"/>
    </row>
    <row r="161" spans="2:23" ht="38.25" hidden="1" customHeight="1" x14ac:dyDescent="0.25">
      <c r="B161" s="85" t="s">
        <v>383</v>
      </c>
      <c r="C161" s="51" t="s">
        <v>384</v>
      </c>
      <c r="D161" s="59">
        <v>0</v>
      </c>
      <c r="E161" s="59">
        <v>0</v>
      </c>
      <c r="F161" s="59">
        <v>0</v>
      </c>
      <c r="G161" s="58">
        <v>0</v>
      </c>
      <c r="H161" s="58">
        <v>0</v>
      </c>
      <c r="I161" s="58">
        <v>0</v>
      </c>
      <c r="J161" s="58">
        <v>0</v>
      </c>
      <c r="K161" s="58">
        <v>0</v>
      </c>
      <c r="L161" s="58">
        <f>'2 lentelė'!L159</f>
        <v>140294.17000000001</v>
      </c>
      <c r="M161" s="58">
        <f>'2 lentelė'!Q159</f>
        <v>119250.04</v>
      </c>
      <c r="N161" s="58">
        <v>0</v>
      </c>
      <c r="O161" s="58">
        <v>0</v>
      </c>
      <c r="P161" s="58">
        <v>0</v>
      </c>
      <c r="Q161" s="58">
        <v>0</v>
      </c>
      <c r="R161" s="58">
        <f t="shared" si="80"/>
        <v>140294.17000000001</v>
      </c>
      <c r="S161" s="58">
        <f t="shared" si="80"/>
        <v>119250.04</v>
      </c>
      <c r="T161" s="129"/>
      <c r="U161" s="129"/>
      <c r="V161" s="128"/>
      <c r="W161" s="135"/>
    </row>
    <row r="162" spans="2:23" ht="38.25" hidden="1" customHeight="1" x14ac:dyDescent="0.25">
      <c r="B162" s="85" t="s">
        <v>385</v>
      </c>
      <c r="C162" s="51" t="s">
        <v>386</v>
      </c>
      <c r="D162" s="59">
        <v>0</v>
      </c>
      <c r="E162" s="59">
        <v>0</v>
      </c>
      <c r="F162" s="59">
        <v>0</v>
      </c>
      <c r="G162" s="58">
        <v>0</v>
      </c>
      <c r="H162" s="58">
        <v>0</v>
      </c>
      <c r="I162" s="58">
        <v>0</v>
      </c>
      <c r="J162" s="58">
        <v>0</v>
      </c>
      <c r="K162" s="58">
        <v>0</v>
      </c>
      <c r="L162" s="58">
        <f>'2 lentelė'!L160</f>
        <v>46794.12</v>
      </c>
      <c r="M162" s="58">
        <f>'2 lentelė'!Q160</f>
        <v>39775</v>
      </c>
      <c r="N162" s="58">
        <v>0</v>
      </c>
      <c r="O162" s="58">
        <v>0</v>
      </c>
      <c r="P162" s="58">
        <v>0</v>
      </c>
      <c r="Q162" s="58">
        <v>0</v>
      </c>
      <c r="R162" s="58">
        <f t="shared" si="80"/>
        <v>46794.12</v>
      </c>
      <c r="S162" s="58">
        <f t="shared" si="80"/>
        <v>39775</v>
      </c>
      <c r="T162" s="129"/>
      <c r="U162" s="129"/>
      <c r="V162" s="128"/>
      <c r="W162" s="135"/>
    </row>
    <row r="163" spans="2:23" ht="36" hidden="1" customHeight="1" x14ac:dyDescent="0.25">
      <c r="B163" s="85" t="s">
        <v>387</v>
      </c>
      <c r="C163" s="51" t="s">
        <v>388</v>
      </c>
      <c r="D163" s="59">
        <v>0</v>
      </c>
      <c r="E163" s="59">
        <v>0</v>
      </c>
      <c r="F163" s="59">
        <v>0</v>
      </c>
      <c r="G163" s="58">
        <v>0</v>
      </c>
      <c r="H163" s="58">
        <v>0</v>
      </c>
      <c r="I163" s="58">
        <v>0</v>
      </c>
      <c r="J163" s="58">
        <v>0</v>
      </c>
      <c r="K163" s="58">
        <v>0</v>
      </c>
      <c r="L163" s="58">
        <f>'2 lentelė'!L161</f>
        <v>54411.76</v>
      </c>
      <c r="M163" s="58">
        <f>'2 lentelė'!Q161</f>
        <v>46250</v>
      </c>
      <c r="N163" s="58">
        <v>0</v>
      </c>
      <c r="O163" s="58">
        <v>0</v>
      </c>
      <c r="P163" s="58">
        <v>0</v>
      </c>
      <c r="Q163" s="58">
        <v>0</v>
      </c>
      <c r="R163" s="58">
        <f t="shared" si="80"/>
        <v>54411.76</v>
      </c>
      <c r="S163" s="58">
        <f t="shared" si="80"/>
        <v>46250</v>
      </c>
      <c r="T163" s="129"/>
      <c r="U163" s="129"/>
      <c r="V163" s="128"/>
      <c r="W163" s="135"/>
    </row>
    <row r="164" spans="2:23" ht="76.5" customHeight="1" x14ac:dyDescent="0.25">
      <c r="B164" s="107" t="s">
        <v>389</v>
      </c>
      <c r="C164" s="29" t="s">
        <v>390</v>
      </c>
      <c r="D164" s="107">
        <v>0</v>
      </c>
      <c r="E164" s="107">
        <v>0</v>
      </c>
      <c r="F164" s="107">
        <v>0</v>
      </c>
      <c r="G164" s="29">
        <v>0</v>
      </c>
      <c r="H164" s="107">
        <f t="shared" ref="H164:S164" si="81">H165+H170</f>
        <v>2581906.2000000002</v>
      </c>
      <c r="I164" s="107">
        <f t="shared" si="81"/>
        <v>2194566.25</v>
      </c>
      <c r="J164" s="107">
        <f t="shared" si="81"/>
        <v>50888</v>
      </c>
      <c r="K164" s="29">
        <f t="shared" si="81"/>
        <v>43254.8</v>
      </c>
      <c r="L164" s="107">
        <f t="shared" si="81"/>
        <v>1184481.54</v>
      </c>
      <c r="M164" s="107">
        <f t="shared" si="81"/>
        <v>767493.20000000007</v>
      </c>
      <c r="N164" s="107">
        <f t="shared" si="81"/>
        <v>0</v>
      </c>
      <c r="O164" s="29">
        <f t="shared" si="81"/>
        <v>0</v>
      </c>
      <c r="P164" s="107">
        <f t="shared" si="81"/>
        <v>0</v>
      </c>
      <c r="Q164" s="107">
        <f t="shared" si="81"/>
        <v>0</v>
      </c>
      <c r="R164" s="107">
        <f t="shared" si="81"/>
        <v>3817275.74</v>
      </c>
      <c r="S164" s="29">
        <f t="shared" si="81"/>
        <v>3005314.25</v>
      </c>
      <c r="T164" s="129"/>
      <c r="U164" s="129"/>
      <c r="V164" s="128"/>
      <c r="W164" s="135"/>
    </row>
    <row r="165" spans="2:23" ht="50.25" customHeight="1" x14ac:dyDescent="0.25">
      <c r="B165" s="60" t="s">
        <v>391</v>
      </c>
      <c r="C165" s="60" t="s">
        <v>392</v>
      </c>
      <c r="D165" s="60">
        <f>SUM(D166:D169)</f>
        <v>0</v>
      </c>
      <c r="E165" s="60">
        <f t="shared" ref="E165:S165" si="82">SUM(E166:E169)</f>
        <v>0</v>
      </c>
      <c r="F165" s="60">
        <f t="shared" si="82"/>
        <v>0</v>
      </c>
      <c r="G165" s="60">
        <f t="shared" si="82"/>
        <v>0</v>
      </c>
      <c r="H165" s="60">
        <f t="shared" si="82"/>
        <v>0</v>
      </c>
      <c r="I165" s="60">
        <f t="shared" si="82"/>
        <v>0</v>
      </c>
      <c r="J165" s="60">
        <f t="shared" si="82"/>
        <v>50888</v>
      </c>
      <c r="K165" s="60">
        <f t="shared" si="82"/>
        <v>43254.8</v>
      </c>
      <c r="L165" s="60">
        <f t="shared" si="82"/>
        <v>1184481.54</v>
      </c>
      <c r="M165" s="60">
        <f t="shared" si="82"/>
        <v>767493.20000000007</v>
      </c>
      <c r="N165" s="60">
        <f t="shared" si="82"/>
        <v>0</v>
      </c>
      <c r="O165" s="60">
        <f t="shared" si="82"/>
        <v>0</v>
      </c>
      <c r="P165" s="60">
        <f t="shared" si="82"/>
        <v>0</v>
      </c>
      <c r="Q165" s="60">
        <f t="shared" si="82"/>
        <v>0</v>
      </c>
      <c r="R165" s="60">
        <f t="shared" si="82"/>
        <v>1235369.54</v>
      </c>
      <c r="S165" s="60">
        <f t="shared" si="82"/>
        <v>810748</v>
      </c>
      <c r="T165" s="153" t="s">
        <v>1070</v>
      </c>
      <c r="U165" s="129">
        <v>810748</v>
      </c>
      <c r="V165" s="154">
        <f>U165-S165</f>
        <v>0</v>
      </c>
      <c r="W165" s="135"/>
    </row>
    <row r="166" spans="2:23" ht="38.25" hidden="1" customHeight="1" x14ac:dyDescent="0.25">
      <c r="B166" s="85" t="s">
        <v>393</v>
      </c>
      <c r="C166" s="51" t="s">
        <v>394</v>
      </c>
      <c r="D166" s="59">
        <v>0</v>
      </c>
      <c r="E166" s="59">
        <v>0</v>
      </c>
      <c r="F166" s="59">
        <v>0</v>
      </c>
      <c r="G166" s="58">
        <v>0</v>
      </c>
      <c r="H166" s="58">
        <v>0</v>
      </c>
      <c r="I166" s="58">
        <v>0</v>
      </c>
      <c r="J166" s="58">
        <v>0</v>
      </c>
      <c r="K166" s="58">
        <v>0</v>
      </c>
      <c r="L166" s="58">
        <f>'2 lentelė'!L164</f>
        <v>84698.81</v>
      </c>
      <c r="M166" s="58">
        <f>'2 lentelė'!Q164</f>
        <v>71993.98</v>
      </c>
      <c r="N166" s="58">
        <v>0</v>
      </c>
      <c r="O166" s="58">
        <v>0</v>
      </c>
      <c r="P166" s="58">
        <v>0</v>
      </c>
      <c r="Q166" s="58">
        <v>0</v>
      </c>
      <c r="R166" s="58">
        <f>H166+J166+L166+N166+P166</f>
        <v>84698.81</v>
      </c>
      <c r="S166" s="58">
        <f>I166+K166+M166+O166+Q166</f>
        <v>71993.98</v>
      </c>
      <c r="T166" s="129"/>
      <c r="U166" s="129"/>
      <c r="V166" s="128"/>
      <c r="W166" s="135"/>
    </row>
    <row r="167" spans="2:23" ht="51" hidden="1" customHeight="1" x14ac:dyDescent="0.25">
      <c r="B167" s="85" t="s">
        <v>395</v>
      </c>
      <c r="C167" s="51" t="s">
        <v>396</v>
      </c>
      <c r="D167" s="59">
        <v>0</v>
      </c>
      <c r="E167" s="59">
        <v>0</v>
      </c>
      <c r="F167" s="59">
        <v>0</v>
      </c>
      <c r="G167" s="58">
        <v>0</v>
      </c>
      <c r="H167" s="58">
        <v>0</v>
      </c>
      <c r="I167" s="58">
        <v>0</v>
      </c>
      <c r="J167" s="58">
        <v>0</v>
      </c>
      <c r="K167" s="58">
        <v>0</v>
      </c>
      <c r="L167" s="58">
        <f>'2 lentelė'!L165</f>
        <v>70618.14</v>
      </c>
      <c r="M167" s="58">
        <f>'2 lentelė'!Q165</f>
        <v>60025.41</v>
      </c>
      <c r="N167" s="58">
        <v>0</v>
      </c>
      <c r="O167" s="58">
        <v>0</v>
      </c>
      <c r="P167" s="58">
        <v>0</v>
      </c>
      <c r="Q167" s="58">
        <v>0</v>
      </c>
      <c r="R167" s="58">
        <f t="shared" ref="R167:R169" si="83">H167+J167+L167+N167+P167</f>
        <v>70618.14</v>
      </c>
      <c r="S167" s="58">
        <f t="shared" ref="S167:S169" si="84">I167+K167+M167+O167+Q167</f>
        <v>60025.41</v>
      </c>
      <c r="T167" s="129"/>
      <c r="U167" s="129"/>
      <c r="V167" s="128"/>
      <c r="W167" s="135"/>
    </row>
    <row r="168" spans="2:23" ht="54.75" hidden="1" customHeight="1" x14ac:dyDescent="0.25">
      <c r="B168" s="85" t="s">
        <v>397</v>
      </c>
      <c r="C168" s="51" t="s">
        <v>398</v>
      </c>
      <c r="D168" s="59">
        <v>0</v>
      </c>
      <c r="E168" s="59">
        <v>0</v>
      </c>
      <c r="F168" s="59">
        <v>0</v>
      </c>
      <c r="G168" s="58">
        <v>0</v>
      </c>
      <c r="H168" s="58">
        <v>0</v>
      </c>
      <c r="I168" s="58">
        <v>0</v>
      </c>
      <c r="J168" s="58">
        <f>'2 lentelė'!L166</f>
        <v>50888</v>
      </c>
      <c r="K168" s="58">
        <f>'2 lentelė'!Q166</f>
        <v>43254.8</v>
      </c>
      <c r="L168" s="58">
        <v>0</v>
      </c>
      <c r="M168" s="58">
        <v>0</v>
      </c>
      <c r="N168" s="58">
        <v>0</v>
      </c>
      <c r="O168" s="58">
        <v>0</v>
      </c>
      <c r="P168" s="58">
        <v>0</v>
      </c>
      <c r="Q168" s="58">
        <v>0</v>
      </c>
      <c r="R168" s="58">
        <f t="shared" si="83"/>
        <v>50888</v>
      </c>
      <c r="S168" s="58">
        <f t="shared" si="84"/>
        <v>43254.8</v>
      </c>
      <c r="T168" s="129"/>
      <c r="U168" s="129"/>
      <c r="V168" s="128"/>
      <c r="W168" s="135"/>
    </row>
    <row r="169" spans="2:23" ht="114.75" hidden="1" customHeight="1" x14ac:dyDescent="0.25">
      <c r="B169" s="85" t="s">
        <v>399</v>
      </c>
      <c r="C169" s="51" t="s">
        <v>400</v>
      </c>
      <c r="D169" s="59">
        <v>0</v>
      </c>
      <c r="E169" s="59">
        <v>0</v>
      </c>
      <c r="F169" s="59">
        <v>0</v>
      </c>
      <c r="G169" s="58">
        <v>0</v>
      </c>
      <c r="H169" s="58">
        <v>0</v>
      </c>
      <c r="I169" s="58">
        <v>0</v>
      </c>
      <c r="J169" s="58">
        <v>0</v>
      </c>
      <c r="K169" s="58">
        <v>0</v>
      </c>
      <c r="L169" s="58">
        <f>'2 lentelė'!L167</f>
        <v>1029164.59</v>
      </c>
      <c r="M169" s="58">
        <f>'2 lentelė'!Q167</f>
        <v>635473.81000000006</v>
      </c>
      <c r="N169" s="58">
        <v>0</v>
      </c>
      <c r="O169" s="58">
        <v>0</v>
      </c>
      <c r="P169" s="58">
        <v>0</v>
      </c>
      <c r="Q169" s="58">
        <v>0</v>
      </c>
      <c r="R169" s="58">
        <f t="shared" si="83"/>
        <v>1029164.59</v>
      </c>
      <c r="S169" s="58">
        <f t="shared" si="84"/>
        <v>635473.81000000006</v>
      </c>
      <c r="T169" s="129"/>
      <c r="U169" s="129"/>
      <c r="V169" s="128"/>
      <c r="W169" s="135"/>
    </row>
    <row r="170" spans="2:23" ht="25.5" customHeight="1" x14ac:dyDescent="0.25">
      <c r="B170" s="60" t="s">
        <v>401</v>
      </c>
      <c r="C170" s="60" t="s">
        <v>402</v>
      </c>
      <c r="D170" s="60">
        <v>0</v>
      </c>
      <c r="E170" s="60">
        <v>0</v>
      </c>
      <c r="F170" s="60">
        <v>0</v>
      </c>
      <c r="G170" s="60">
        <v>0</v>
      </c>
      <c r="H170" s="60">
        <f>SUM(H171:H176)</f>
        <v>2581906.2000000002</v>
      </c>
      <c r="I170" s="60">
        <f t="shared" ref="I170:S170" si="85">SUM(I171:I176)</f>
        <v>2194566.25</v>
      </c>
      <c r="J170" s="60">
        <f>SUM(J171:J176)</f>
        <v>0</v>
      </c>
      <c r="K170" s="60">
        <f t="shared" si="85"/>
        <v>0</v>
      </c>
      <c r="L170" s="60">
        <f t="shared" si="85"/>
        <v>0</v>
      </c>
      <c r="M170" s="60">
        <f t="shared" si="85"/>
        <v>0</v>
      </c>
      <c r="N170" s="60">
        <f t="shared" si="85"/>
        <v>0</v>
      </c>
      <c r="O170" s="60">
        <f t="shared" si="85"/>
        <v>0</v>
      </c>
      <c r="P170" s="60">
        <f t="shared" si="85"/>
        <v>0</v>
      </c>
      <c r="Q170" s="60">
        <f t="shared" si="85"/>
        <v>0</v>
      </c>
      <c r="R170" s="60">
        <f>SUM(R171:R176)</f>
        <v>2581906.2000000002</v>
      </c>
      <c r="S170" s="60">
        <f t="shared" si="85"/>
        <v>2194566.25</v>
      </c>
      <c r="T170" s="153" t="s">
        <v>1062</v>
      </c>
      <c r="U170" s="129">
        <v>2198754</v>
      </c>
      <c r="V170" s="154">
        <f>U170-S170</f>
        <v>4187.75</v>
      </c>
      <c r="W170" s="135"/>
    </row>
    <row r="171" spans="2:23" ht="38.25" hidden="1" customHeight="1" x14ac:dyDescent="0.25">
      <c r="B171" s="85" t="s">
        <v>403</v>
      </c>
      <c r="C171" s="51" t="s">
        <v>1045</v>
      </c>
      <c r="D171" s="59">
        <v>0</v>
      </c>
      <c r="E171" s="59">
        <v>0</v>
      </c>
      <c r="F171" s="59">
        <v>0</v>
      </c>
      <c r="G171" s="58">
        <v>0</v>
      </c>
      <c r="H171" s="58">
        <f>'2 lentelė'!L169</f>
        <v>431079.82</v>
      </c>
      <c r="I171" s="58">
        <f>'2 lentelė'!Q169</f>
        <v>366417.84</v>
      </c>
      <c r="J171" s="58">
        <v>0</v>
      </c>
      <c r="K171" s="58">
        <v>0</v>
      </c>
      <c r="L171" s="58">
        <v>0</v>
      </c>
      <c r="M171" s="58">
        <v>0</v>
      </c>
      <c r="N171" s="58">
        <v>0</v>
      </c>
      <c r="O171" s="58">
        <v>0</v>
      </c>
      <c r="P171" s="58">
        <v>0</v>
      </c>
      <c r="Q171" s="58">
        <v>0</v>
      </c>
      <c r="R171" s="58">
        <f t="shared" ref="R171:S176" si="86">D171+F171+H171+J171+L171+N171+P171</f>
        <v>431079.82</v>
      </c>
      <c r="S171" s="58">
        <f t="shared" si="86"/>
        <v>366417.84</v>
      </c>
      <c r="T171" s="129"/>
      <c r="U171" s="129"/>
      <c r="V171" s="128"/>
      <c r="W171" s="135"/>
    </row>
    <row r="172" spans="2:23" ht="76.5" hidden="1" customHeight="1" x14ac:dyDescent="0.25">
      <c r="B172" s="85" t="s">
        <v>404</v>
      </c>
      <c r="C172" s="51" t="s">
        <v>405</v>
      </c>
      <c r="D172" s="59">
        <v>0</v>
      </c>
      <c r="E172" s="59">
        <v>0</v>
      </c>
      <c r="F172" s="59">
        <v>0</v>
      </c>
      <c r="G172" s="58">
        <v>0</v>
      </c>
      <c r="H172" s="58">
        <f>'2 lentelė'!L170</f>
        <v>429341.5</v>
      </c>
      <c r="I172" s="58">
        <f>'2 lentelė'!Q170</f>
        <v>364940.27</v>
      </c>
      <c r="J172" s="58">
        <v>0</v>
      </c>
      <c r="K172" s="58">
        <v>0</v>
      </c>
      <c r="L172" s="58">
        <v>0</v>
      </c>
      <c r="M172" s="58">
        <v>0</v>
      </c>
      <c r="N172" s="58">
        <v>0</v>
      </c>
      <c r="O172" s="58">
        <v>0</v>
      </c>
      <c r="P172" s="58">
        <v>0</v>
      </c>
      <c r="Q172" s="58">
        <v>0</v>
      </c>
      <c r="R172" s="58">
        <f t="shared" si="86"/>
        <v>429341.5</v>
      </c>
      <c r="S172" s="58">
        <f t="shared" si="86"/>
        <v>364940.27</v>
      </c>
      <c r="T172" s="129"/>
      <c r="U172" s="129"/>
      <c r="V172" s="128"/>
      <c r="W172" s="135"/>
    </row>
    <row r="173" spans="2:23" ht="38.25" hidden="1" customHeight="1" x14ac:dyDescent="0.25">
      <c r="B173" s="85" t="s">
        <v>406</v>
      </c>
      <c r="C173" s="51" t="s">
        <v>407</v>
      </c>
      <c r="D173" s="59">
        <v>0</v>
      </c>
      <c r="E173" s="59">
        <v>0</v>
      </c>
      <c r="F173" s="59">
        <v>0</v>
      </c>
      <c r="G173" s="58">
        <v>0</v>
      </c>
      <c r="H173" s="58">
        <f>'2 lentelė'!L171</f>
        <v>301122.82</v>
      </c>
      <c r="I173" s="58">
        <f>'2 lentelė'!Q171</f>
        <v>255954.39</v>
      </c>
      <c r="J173" s="58">
        <v>0</v>
      </c>
      <c r="K173" s="58">
        <v>0</v>
      </c>
      <c r="L173" s="58">
        <v>0</v>
      </c>
      <c r="M173" s="58">
        <v>0</v>
      </c>
      <c r="N173" s="58">
        <v>0</v>
      </c>
      <c r="O173" s="58">
        <v>0</v>
      </c>
      <c r="P173" s="58">
        <v>0</v>
      </c>
      <c r="Q173" s="58">
        <v>0</v>
      </c>
      <c r="R173" s="58">
        <f t="shared" si="86"/>
        <v>301122.82</v>
      </c>
      <c r="S173" s="58">
        <f t="shared" si="86"/>
        <v>255954.39</v>
      </c>
      <c r="T173" s="129"/>
      <c r="U173" s="129"/>
      <c r="V173" s="128"/>
      <c r="W173" s="135"/>
    </row>
    <row r="174" spans="2:23" ht="38.25" hidden="1" customHeight="1" x14ac:dyDescent="0.25">
      <c r="B174" s="85" t="s">
        <v>408</v>
      </c>
      <c r="C174" s="51" t="s">
        <v>409</v>
      </c>
      <c r="D174" s="59">
        <v>0</v>
      </c>
      <c r="E174" s="59">
        <v>0</v>
      </c>
      <c r="F174" s="59">
        <v>0</v>
      </c>
      <c r="G174" s="58">
        <v>0</v>
      </c>
      <c r="H174" s="58">
        <f>'2 lentelė'!L172</f>
        <v>577222.22</v>
      </c>
      <c r="I174" s="58">
        <f>'2 lentelė'!Q172</f>
        <v>490585</v>
      </c>
      <c r="J174" s="58">
        <v>0</v>
      </c>
      <c r="K174" s="58">
        <v>0</v>
      </c>
      <c r="L174" s="58">
        <v>0</v>
      </c>
      <c r="M174" s="58">
        <v>0</v>
      </c>
      <c r="N174" s="58">
        <v>0</v>
      </c>
      <c r="O174" s="58">
        <v>0</v>
      </c>
      <c r="P174" s="58">
        <v>0</v>
      </c>
      <c r="Q174" s="58">
        <v>0</v>
      </c>
      <c r="R174" s="58">
        <f t="shared" si="86"/>
        <v>577222.22</v>
      </c>
      <c r="S174" s="58">
        <f t="shared" si="86"/>
        <v>490585</v>
      </c>
      <c r="T174" s="129"/>
      <c r="U174" s="129"/>
      <c r="V174" s="128"/>
      <c r="W174" s="135"/>
    </row>
    <row r="175" spans="2:23" ht="38.25" hidden="1" customHeight="1" x14ac:dyDescent="0.25">
      <c r="B175" s="85" t="s">
        <v>410</v>
      </c>
      <c r="C175" s="51" t="s">
        <v>411</v>
      </c>
      <c r="D175" s="59">
        <v>0</v>
      </c>
      <c r="E175" s="59">
        <v>0</v>
      </c>
      <c r="F175" s="59">
        <v>0</v>
      </c>
      <c r="G175" s="58">
        <v>0</v>
      </c>
      <c r="H175" s="58">
        <f>'2 lentelė'!L173</f>
        <v>344844.84</v>
      </c>
      <c r="I175" s="58">
        <f>'2 lentelė'!Q173</f>
        <v>293118</v>
      </c>
      <c r="J175" s="58">
        <v>0</v>
      </c>
      <c r="K175" s="58">
        <v>0</v>
      </c>
      <c r="L175" s="58">
        <v>0</v>
      </c>
      <c r="M175" s="58">
        <v>0</v>
      </c>
      <c r="N175" s="58">
        <v>0</v>
      </c>
      <c r="O175" s="58">
        <v>0</v>
      </c>
      <c r="P175" s="58">
        <v>0</v>
      </c>
      <c r="Q175" s="58">
        <v>0</v>
      </c>
      <c r="R175" s="58">
        <f t="shared" si="86"/>
        <v>344844.84</v>
      </c>
      <c r="S175" s="58">
        <f t="shared" si="86"/>
        <v>293118</v>
      </c>
      <c r="T175" s="129"/>
      <c r="U175" s="129"/>
      <c r="V175" s="128"/>
      <c r="W175" s="135"/>
    </row>
    <row r="176" spans="2:23" ht="38.25" hidden="1" customHeight="1" x14ac:dyDescent="0.25">
      <c r="B176" s="85" t="s">
        <v>412</v>
      </c>
      <c r="C176" s="51" t="s">
        <v>413</v>
      </c>
      <c r="D176" s="59">
        <v>0</v>
      </c>
      <c r="E176" s="59">
        <v>0</v>
      </c>
      <c r="F176" s="59">
        <v>0</v>
      </c>
      <c r="G176" s="58">
        <v>0</v>
      </c>
      <c r="H176" s="58">
        <f>'2 lentelė'!L174</f>
        <v>498295</v>
      </c>
      <c r="I176" s="58">
        <f>'2 lentelė'!Q174</f>
        <v>423550.75</v>
      </c>
      <c r="J176" s="58">
        <v>0</v>
      </c>
      <c r="K176" s="58">
        <v>0</v>
      </c>
      <c r="L176" s="58">
        <v>0</v>
      </c>
      <c r="M176" s="58">
        <v>0</v>
      </c>
      <c r="N176" s="58">
        <v>0</v>
      </c>
      <c r="O176" s="58">
        <v>0</v>
      </c>
      <c r="P176" s="58">
        <v>0</v>
      </c>
      <c r="Q176" s="58">
        <v>0</v>
      </c>
      <c r="R176" s="58">
        <f t="shared" si="86"/>
        <v>498295</v>
      </c>
      <c r="S176" s="58">
        <f t="shared" si="86"/>
        <v>423550.75</v>
      </c>
      <c r="T176" s="129"/>
      <c r="U176" s="129"/>
      <c r="V176" s="128"/>
      <c r="W176" s="135"/>
    </row>
    <row r="177" spans="2:23" ht="48" customHeight="1" x14ac:dyDescent="0.25">
      <c r="B177" s="107" t="s">
        <v>414</v>
      </c>
      <c r="C177" s="29" t="s">
        <v>415</v>
      </c>
      <c r="D177" s="107">
        <v>0</v>
      </c>
      <c r="E177" s="107">
        <v>0</v>
      </c>
      <c r="F177" s="29">
        <v>0</v>
      </c>
      <c r="G177" s="107">
        <v>0</v>
      </c>
      <c r="H177" s="107">
        <f>SUM(H178)</f>
        <v>0</v>
      </c>
      <c r="I177" s="29">
        <f t="shared" ref="I177:R177" si="87">SUM(I178)</f>
        <v>0</v>
      </c>
      <c r="J177" s="107">
        <f t="shared" si="87"/>
        <v>5457418.46</v>
      </c>
      <c r="K177" s="107">
        <f t="shared" si="87"/>
        <v>4741187.91</v>
      </c>
      <c r="L177" s="29">
        <f t="shared" si="87"/>
        <v>30195</v>
      </c>
      <c r="M177" s="107">
        <f t="shared" si="87"/>
        <v>25665</v>
      </c>
      <c r="N177" s="107">
        <f t="shared" si="87"/>
        <v>0</v>
      </c>
      <c r="O177" s="29">
        <f t="shared" si="87"/>
        <v>0</v>
      </c>
      <c r="P177" s="107">
        <f t="shared" si="87"/>
        <v>0</v>
      </c>
      <c r="Q177" s="107">
        <f t="shared" si="87"/>
        <v>0</v>
      </c>
      <c r="R177" s="29">
        <f t="shared" si="87"/>
        <v>5751536.3399999999</v>
      </c>
      <c r="S177" s="107">
        <f>S178</f>
        <v>4766852.91</v>
      </c>
      <c r="T177" s="129"/>
      <c r="U177" s="129"/>
      <c r="V177" s="128"/>
      <c r="W177" s="135"/>
    </row>
    <row r="178" spans="2:23" ht="61.5" customHeight="1" x14ac:dyDescent="0.25">
      <c r="B178" s="60" t="s">
        <v>416</v>
      </c>
      <c r="C178" s="60" t="s">
        <v>417</v>
      </c>
      <c r="D178" s="60">
        <v>0</v>
      </c>
      <c r="E178" s="60">
        <v>0</v>
      </c>
      <c r="F178" s="60">
        <v>0</v>
      </c>
      <c r="G178" s="60">
        <v>0</v>
      </c>
      <c r="H178" s="60">
        <f t="shared" ref="H178:Q178" si="88">SUM(H179:H184)</f>
        <v>0</v>
      </c>
      <c r="I178" s="60">
        <f t="shared" si="88"/>
        <v>0</v>
      </c>
      <c r="J178" s="60">
        <f t="shared" si="88"/>
        <v>5457418.46</v>
      </c>
      <c r="K178" s="60">
        <f t="shared" si="88"/>
        <v>4741187.91</v>
      </c>
      <c r="L178" s="60">
        <f t="shared" si="88"/>
        <v>30195</v>
      </c>
      <c r="M178" s="60">
        <f t="shared" si="88"/>
        <v>25665</v>
      </c>
      <c r="N178" s="60">
        <f t="shared" si="88"/>
        <v>0</v>
      </c>
      <c r="O178" s="60">
        <f t="shared" si="88"/>
        <v>0</v>
      </c>
      <c r="P178" s="60">
        <f t="shared" si="88"/>
        <v>0</v>
      </c>
      <c r="Q178" s="60">
        <f t="shared" si="88"/>
        <v>0</v>
      </c>
      <c r="R178" s="60">
        <f>SUM(R179:R184)</f>
        <v>5751536.3399999999</v>
      </c>
      <c r="S178" s="60">
        <f>SUM(S179:S184)</f>
        <v>4766852.91</v>
      </c>
      <c r="T178" s="153" t="s">
        <v>1063</v>
      </c>
      <c r="U178" s="129">
        <v>4766921.22</v>
      </c>
      <c r="V178" s="154">
        <f>U178-S178</f>
        <v>68.309999999590218</v>
      </c>
      <c r="W178" s="135"/>
    </row>
    <row r="179" spans="2:23" ht="89.25" hidden="1" customHeight="1" x14ac:dyDescent="0.25">
      <c r="B179" s="85" t="s">
        <v>418</v>
      </c>
      <c r="C179" s="51" t="s">
        <v>419</v>
      </c>
      <c r="D179" s="59">
        <v>0</v>
      </c>
      <c r="E179" s="59">
        <v>0</v>
      </c>
      <c r="F179" s="59">
        <v>0</v>
      </c>
      <c r="G179" s="58">
        <v>0</v>
      </c>
      <c r="H179" s="58">
        <v>0</v>
      </c>
      <c r="I179" s="58">
        <v>0</v>
      </c>
      <c r="J179" s="58">
        <f>'2 lentelė'!L177</f>
        <v>70588</v>
      </c>
      <c r="K179" s="58">
        <f>'2 lentelė'!Q177</f>
        <v>59999.8</v>
      </c>
      <c r="L179" s="58">
        <v>0</v>
      </c>
      <c r="M179" s="58">
        <v>0</v>
      </c>
      <c r="N179" s="58">
        <v>0</v>
      </c>
      <c r="O179" s="58">
        <v>0</v>
      </c>
      <c r="P179" s="58">
        <v>0</v>
      </c>
      <c r="Q179" s="58">
        <v>0</v>
      </c>
      <c r="R179" s="58">
        <f t="shared" ref="R179:S183" si="89">D179+F179+H179+J179+L179+N179+P179</f>
        <v>70588</v>
      </c>
      <c r="S179" s="58">
        <f t="shared" si="89"/>
        <v>59999.8</v>
      </c>
      <c r="T179" s="129"/>
      <c r="U179" s="129"/>
      <c r="V179" s="128"/>
      <c r="W179" s="135"/>
    </row>
    <row r="180" spans="2:23" ht="39.75" hidden="1" customHeight="1" x14ac:dyDescent="0.25">
      <c r="B180" s="85" t="s">
        <v>420</v>
      </c>
      <c r="C180" s="51" t="s">
        <v>421</v>
      </c>
      <c r="D180" s="59">
        <v>0</v>
      </c>
      <c r="E180" s="59">
        <v>0</v>
      </c>
      <c r="F180" s="59">
        <v>0</v>
      </c>
      <c r="G180" s="58">
        <v>0</v>
      </c>
      <c r="H180" s="58">
        <v>0</v>
      </c>
      <c r="I180" s="58">
        <v>0</v>
      </c>
      <c r="J180" s="58">
        <f>'2 lentelė'!L178</f>
        <v>589242.18000000005</v>
      </c>
      <c r="K180" s="58">
        <f>'2 lentelė'!Q178</f>
        <v>420000</v>
      </c>
      <c r="L180" s="58">
        <v>0</v>
      </c>
      <c r="M180" s="58">
        <v>0</v>
      </c>
      <c r="N180" s="58">
        <v>0</v>
      </c>
      <c r="O180" s="58">
        <v>0</v>
      </c>
      <c r="P180" s="58">
        <v>0</v>
      </c>
      <c r="Q180" s="58">
        <v>0</v>
      </c>
      <c r="R180" s="58">
        <f t="shared" si="89"/>
        <v>589242.18000000005</v>
      </c>
      <c r="S180" s="58">
        <f t="shared" si="89"/>
        <v>420000</v>
      </c>
      <c r="T180" s="129"/>
      <c r="U180" s="129"/>
      <c r="V180" s="128"/>
      <c r="W180" s="135"/>
    </row>
    <row r="181" spans="2:23" ht="63.75" hidden="1" customHeight="1" x14ac:dyDescent="0.25">
      <c r="B181" s="85" t="s">
        <v>422</v>
      </c>
      <c r="C181" s="51" t="s">
        <v>423</v>
      </c>
      <c r="D181" s="59">
        <v>0</v>
      </c>
      <c r="E181" s="59">
        <v>0</v>
      </c>
      <c r="F181" s="59">
        <v>0</v>
      </c>
      <c r="G181" s="58">
        <v>0</v>
      </c>
      <c r="H181" s="58">
        <v>0</v>
      </c>
      <c r="I181" s="58">
        <v>0</v>
      </c>
      <c r="J181" s="108" t="str">
        <f>'2 lentelė'!L179</f>
        <v>263 922,88</v>
      </c>
      <c r="K181" s="58">
        <f>'2 lentelė'!Q179</f>
        <v>224334.44</v>
      </c>
      <c r="L181" s="58">
        <v>0</v>
      </c>
      <c r="M181" s="58">
        <v>0</v>
      </c>
      <c r="N181" s="58">
        <v>0</v>
      </c>
      <c r="O181" s="58">
        <v>0</v>
      </c>
      <c r="P181" s="58">
        <v>0</v>
      </c>
      <c r="Q181" s="58">
        <v>0</v>
      </c>
      <c r="R181" s="58">
        <v>263922.88</v>
      </c>
      <c r="S181" s="58">
        <v>224334.44</v>
      </c>
      <c r="T181" s="129"/>
      <c r="U181" s="129"/>
      <c r="V181" s="128"/>
      <c r="W181" s="135"/>
    </row>
    <row r="182" spans="2:23" ht="114.75" hidden="1" customHeight="1" x14ac:dyDescent="0.25">
      <c r="B182" s="85" t="s">
        <v>424</v>
      </c>
      <c r="C182" s="51" t="s">
        <v>425</v>
      </c>
      <c r="D182" s="59">
        <v>0</v>
      </c>
      <c r="E182" s="59">
        <v>0</v>
      </c>
      <c r="F182" s="59">
        <v>0</v>
      </c>
      <c r="G182" s="58">
        <v>0</v>
      </c>
      <c r="H182" s="58">
        <v>0</v>
      </c>
      <c r="I182" s="58">
        <v>0</v>
      </c>
      <c r="J182" s="58">
        <f>'2 lentelė'!L180</f>
        <v>797588.28</v>
      </c>
      <c r="K182" s="58">
        <f>'2 lentelė'!Q180</f>
        <v>636853.66999999993</v>
      </c>
      <c r="L182" s="58">
        <v>0</v>
      </c>
      <c r="M182" s="58">
        <v>0</v>
      </c>
      <c r="N182" s="58">
        <v>0</v>
      </c>
      <c r="O182" s="58">
        <v>0</v>
      </c>
      <c r="P182" s="58">
        <v>0</v>
      </c>
      <c r="Q182" s="58">
        <v>0</v>
      </c>
      <c r="R182" s="58">
        <f t="shared" si="89"/>
        <v>797588.28</v>
      </c>
      <c r="S182" s="58">
        <f t="shared" si="89"/>
        <v>636853.66999999993</v>
      </c>
      <c r="T182" s="129"/>
      <c r="U182" s="129"/>
      <c r="V182" s="128"/>
      <c r="W182" s="135"/>
    </row>
    <row r="183" spans="2:23" ht="63.75" hidden="1" customHeight="1" x14ac:dyDescent="0.25">
      <c r="B183" s="85" t="s">
        <v>426</v>
      </c>
      <c r="C183" s="51" t="s">
        <v>427</v>
      </c>
      <c r="D183" s="59">
        <v>0</v>
      </c>
      <c r="E183" s="59">
        <v>0</v>
      </c>
      <c r="F183" s="59">
        <v>0</v>
      </c>
      <c r="G183" s="58">
        <v>0</v>
      </c>
      <c r="H183" s="58">
        <v>0</v>
      </c>
      <c r="I183" s="58">
        <v>0</v>
      </c>
      <c r="J183" s="58">
        <f>'2 lentelė'!L181</f>
        <v>4000000</v>
      </c>
      <c r="K183" s="58">
        <f>'2 lentelė'!Q181</f>
        <v>3400000</v>
      </c>
      <c r="L183" s="58">
        <v>0</v>
      </c>
      <c r="M183" s="58">
        <v>0</v>
      </c>
      <c r="N183" s="58">
        <v>0</v>
      </c>
      <c r="O183" s="58">
        <v>0</v>
      </c>
      <c r="P183" s="58">
        <v>0</v>
      </c>
      <c r="Q183" s="58">
        <v>0</v>
      </c>
      <c r="R183" s="58">
        <f t="shared" si="89"/>
        <v>4000000</v>
      </c>
      <c r="S183" s="58">
        <f t="shared" si="89"/>
        <v>3400000</v>
      </c>
      <c r="T183" s="129"/>
      <c r="U183" s="129"/>
      <c r="V183" s="128"/>
      <c r="W183" s="135"/>
    </row>
    <row r="184" spans="2:23" ht="51" hidden="1" customHeight="1" x14ac:dyDescent="0.25">
      <c r="B184" s="85" t="s">
        <v>428</v>
      </c>
      <c r="C184" s="51" t="s">
        <v>429</v>
      </c>
      <c r="D184" s="59">
        <v>0</v>
      </c>
      <c r="E184" s="59">
        <v>0</v>
      </c>
      <c r="F184" s="59">
        <v>0</v>
      </c>
      <c r="G184" s="58">
        <v>0</v>
      </c>
      <c r="H184" s="58">
        <v>0</v>
      </c>
      <c r="I184" s="58">
        <v>0</v>
      </c>
      <c r="J184" s="58">
        <v>0</v>
      </c>
      <c r="K184" s="58">
        <v>0</v>
      </c>
      <c r="L184" s="58">
        <f>'2 lentelė'!L182</f>
        <v>30195</v>
      </c>
      <c r="M184" s="58">
        <f>'2 lentelė'!Q182</f>
        <v>25665</v>
      </c>
      <c r="N184" s="58">
        <v>0</v>
      </c>
      <c r="O184" s="58">
        <v>0</v>
      </c>
      <c r="P184" s="58">
        <v>0</v>
      </c>
      <c r="Q184" s="58">
        <v>0</v>
      </c>
      <c r="R184" s="58">
        <v>30195</v>
      </c>
      <c r="S184" s="58">
        <v>25665</v>
      </c>
      <c r="T184" s="129"/>
      <c r="U184" s="129"/>
      <c r="V184" s="128"/>
      <c r="W184" s="135"/>
    </row>
    <row r="185" spans="2:23" ht="25.5" customHeight="1" x14ac:dyDescent="0.25">
      <c r="B185" s="107" t="s">
        <v>430</v>
      </c>
      <c r="C185" s="29" t="s">
        <v>431</v>
      </c>
      <c r="D185" s="107">
        <v>0</v>
      </c>
      <c r="E185" s="107">
        <v>0</v>
      </c>
      <c r="F185" s="107">
        <v>0</v>
      </c>
      <c r="G185" s="29">
        <v>0</v>
      </c>
      <c r="H185" s="107">
        <f>SUM(H186)</f>
        <v>0</v>
      </c>
      <c r="I185" s="107">
        <f t="shared" ref="I185:R185" si="90">SUM(I186)</f>
        <v>0</v>
      </c>
      <c r="J185" s="107">
        <f t="shared" si="90"/>
        <v>0</v>
      </c>
      <c r="K185" s="29">
        <f t="shared" si="90"/>
        <v>0</v>
      </c>
      <c r="L185" s="107">
        <f t="shared" si="90"/>
        <v>822159.62</v>
      </c>
      <c r="M185" s="107">
        <f t="shared" si="90"/>
        <v>698761.69</v>
      </c>
      <c r="N185" s="107">
        <f t="shared" si="90"/>
        <v>227956.47</v>
      </c>
      <c r="O185" s="29">
        <f t="shared" si="90"/>
        <v>193762.99</v>
      </c>
      <c r="P185" s="107">
        <f t="shared" si="90"/>
        <v>0</v>
      </c>
      <c r="Q185" s="107">
        <f t="shared" si="90"/>
        <v>0</v>
      </c>
      <c r="R185" s="107">
        <f t="shared" si="90"/>
        <v>1050116.0899999999</v>
      </c>
      <c r="S185" s="29">
        <f>S186</f>
        <v>892524.67999999993</v>
      </c>
      <c r="T185" s="129"/>
      <c r="U185" s="129"/>
      <c r="V185" s="128"/>
      <c r="W185" s="135"/>
    </row>
    <row r="186" spans="2:23" ht="51" customHeight="1" x14ac:dyDescent="0.25">
      <c r="B186" s="60" t="s">
        <v>432</v>
      </c>
      <c r="C186" s="60" t="s">
        <v>433</v>
      </c>
      <c r="D186" s="60">
        <f t="shared" ref="D186:R186" si="91">SUM(D187:D193)</f>
        <v>0</v>
      </c>
      <c r="E186" s="60">
        <f t="shared" si="91"/>
        <v>0</v>
      </c>
      <c r="F186" s="60">
        <f t="shared" si="91"/>
        <v>0</v>
      </c>
      <c r="G186" s="60">
        <f t="shared" si="91"/>
        <v>0</v>
      </c>
      <c r="H186" s="60">
        <f t="shared" si="91"/>
        <v>0</v>
      </c>
      <c r="I186" s="60">
        <f t="shared" si="91"/>
        <v>0</v>
      </c>
      <c r="J186" s="60">
        <f t="shared" si="91"/>
        <v>0</v>
      </c>
      <c r="K186" s="60">
        <f t="shared" si="91"/>
        <v>0</v>
      </c>
      <c r="L186" s="60">
        <f t="shared" si="91"/>
        <v>822159.62</v>
      </c>
      <c r="M186" s="60">
        <f t="shared" si="91"/>
        <v>698761.69</v>
      </c>
      <c r="N186" s="60">
        <f t="shared" si="91"/>
        <v>227956.47</v>
      </c>
      <c r="O186" s="60">
        <f t="shared" si="91"/>
        <v>193762.99</v>
      </c>
      <c r="P186" s="60">
        <f t="shared" si="91"/>
        <v>0</v>
      </c>
      <c r="Q186" s="60">
        <f t="shared" si="91"/>
        <v>0</v>
      </c>
      <c r="R186" s="60">
        <f t="shared" si="91"/>
        <v>1050116.0899999999</v>
      </c>
      <c r="S186" s="60">
        <f>SUM(S187:S193)</f>
        <v>892524.67999999993</v>
      </c>
      <c r="T186" s="153" t="s">
        <v>1064</v>
      </c>
      <c r="U186" s="129">
        <v>951991</v>
      </c>
      <c r="V186" s="154">
        <f>U186-S186</f>
        <v>59466.320000000065</v>
      </c>
      <c r="W186" s="135"/>
    </row>
    <row r="187" spans="2:23" ht="51" hidden="1" customHeight="1" x14ac:dyDescent="0.25">
      <c r="B187" s="85" t="s">
        <v>434</v>
      </c>
      <c r="C187" s="51" t="s">
        <v>435</v>
      </c>
      <c r="D187" s="59">
        <v>0</v>
      </c>
      <c r="E187" s="59">
        <v>0</v>
      </c>
      <c r="F187" s="59">
        <v>0</v>
      </c>
      <c r="G187" s="58">
        <v>0</v>
      </c>
      <c r="H187" s="58">
        <v>0</v>
      </c>
      <c r="I187" s="58">
        <v>0</v>
      </c>
      <c r="J187" s="58">
        <v>0</v>
      </c>
      <c r="K187" s="58">
        <v>0</v>
      </c>
      <c r="L187" s="58">
        <f>'2 lentelė'!L185</f>
        <v>188236</v>
      </c>
      <c r="M187" s="58">
        <f>'2 lentelė'!Q185</f>
        <v>160000</v>
      </c>
      <c r="N187" s="58">
        <v>0</v>
      </c>
      <c r="O187" s="58">
        <v>0</v>
      </c>
      <c r="P187" s="58">
        <v>0</v>
      </c>
      <c r="Q187" s="58">
        <v>0</v>
      </c>
      <c r="R187" s="58">
        <f t="shared" ref="R187:S192" si="92">D187+F187+H187+J187+L187+N187+P187</f>
        <v>188236</v>
      </c>
      <c r="S187" s="58">
        <f t="shared" si="92"/>
        <v>160000</v>
      </c>
      <c r="T187" s="149"/>
      <c r="U187" s="129"/>
      <c r="V187" s="128"/>
      <c r="W187" s="135"/>
    </row>
    <row r="188" spans="2:23" ht="51" hidden="1" customHeight="1" x14ac:dyDescent="0.25">
      <c r="B188" s="85" t="s">
        <v>436</v>
      </c>
      <c r="C188" s="51" t="s">
        <v>437</v>
      </c>
      <c r="D188" s="59">
        <v>0</v>
      </c>
      <c r="E188" s="59">
        <v>0</v>
      </c>
      <c r="F188" s="59">
        <v>0</v>
      </c>
      <c r="G188" s="58">
        <v>0</v>
      </c>
      <c r="H188" s="58">
        <v>0</v>
      </c>
      <c r="I188" s="58">
        <v>0</v>
      </c>
      <c r="J188" s="58">
        <v>0</v>
      </c>
      <c r="K188" s="58">
        <v>0</v>
      </c>
      <c r="L188" s="58">
        <f>'2 lentelė'!L186</f>
        <v>186665</v>
      </c>
      <c r="M188" s="58">
        <f>'2 lentelė'!Q186</f>
        <v>158665</v>
      </c>
      <c r="N188" s="58">
        <v>0</v>
      </c>
      <c r="O188" s="58">
        <v>0</v>
      </c>
      <c r="P188" s="58">
        <v>0</v>
      </c>
      <c r="Q188" s="58">
        <v>0</v>
      </c>
      <c r="R188" s="58">
        <f t="shared" si="92"/>
        <v>186665</v>
      </c>
      <c r="S188" s="58">
        <f t="shared" si="92"/>
        <v>158665</v>
      </c>
      <c r="T188" s="149"/>
      <c r="U188" s="129"/>
      <c r="V188" s="128"/>
      <c r="W188" s="135"/>
    </row>
    <row r="189" spans="2:23" ht="51" hidden="1" customHeight="1" x14ac:dyDescent="0.25">
      <c r="B189" s="85" t="s">
        <v>438</v>
      </c>
      <c r="C189" s="51" t="s">
        <v>439</v>
      </c>
      <c r="D189" s="59">
        <v>0</v>
      </c>
      <c r="E189" s="59">
        <v>0</v>
      </c>
      <c r="F189" s="59">
        <v>0</v>
      </c>
      <c r="G189" s="58">
        <v>0</v>
      </c>
      <c r="H189" s="58">
        <v>0</v>
      </c>
      <c r="I189" s="58">
        <v>0</v>
      </c>
      <c r="J189" s="58">
        <v>0</v>
      </c>
      <c r="K189" s="58">
        <v>0</v>
      </c>
      <c r="L189" s="58">
        <f>'2 lentelė'!L187</f>
        <v>154414.51999999999</v>
      </c>
      <c r="M189" s="58">
        <f>'2 lentelė'!Q187</f>
        <v>131252.34</v>
      </c>
      <c r="N189" s="58">
        <v>0</v>
      </c>
      <c r="O189" s="58">
        <v>0</v>
      </c>
      <c r="P189" s="58">
        <v>0</v>
      </c>
      <c r="Q189" s="58">
        <v>0</v>
      </c>
      <c r="R189" s="58">
        <f t="shared" si="92"/>
        <v>154414.51999999999</v>
      </c>
      <c r="S189" s="58">
        <f t="shared" si="92"/>
        <v>131252.34</v>
      </c>
      <c r="T189" s="149"/>
      <c r="U189" s="129"/>
      <c r="V189" s="128"/>
      <c r="W189" s="135"/>
    </row>
    <row r="190" spans="2:23" ht="63.75" hidden="1" customHeight="1" x14ac:dyDescent="0.25">
      <c r="B190" s="85" t="s">
        <v>440</v>
      </c>
      <c r="C190" s="51" t="s">
        <v>441</v>
      </c>
      <c r="D190" s="59">
        <v>0</v>
      </c>
      <c r="E190" s="59">
        <v>0</v>
      </c>
      <c r="F190" s="59">
        <v>0</v>
      </c>
      <c r="G190" s="58">
        <v>0</v>
      </c>
      <c r="H190" s="58">
        <v>0</v>
      </c>
      <c r="I190" s="58">
        <v>0</v>
      </c>
      <c r="J190" s="58">
        <v>0</v>
      </c>
      <c r="K190" s="58">
        <v>0</v>
      </c>
      <c r="L190" s="58">
        <f>'2 lentelė'!L188</f>
        <v>116373.51</v>
      </c>
      <c r="M190" s="58">
        <f>'2 lentelė'!Q188</f>
        <v>98844.35</v>
      </c>
      <c r="N190" s="58">
        <v>0</v>
      </c>
      <c r="O190" s="58">
        <v>0</v>
      </c>
      <c r="P190" s="58">
        <v>0</v>
      </c>
      <c r="Q190" s="58">
        <v>0</v>
      </c>
      <c r="R190" s="58">
        <f t="shared" si="92"/>
        <v>116373.51</v>
      </c>
      <c r="S190" s="58">
        <f t="shared" si="92"/>
        <v>98844.35</v>
      </c>
      <c r="T190" s="149"/>
      <c r="U190" s="129"/>
      <c r="V190" s="128"/>
      <c r="W190" s="135"/>
    </row>
    <row r="191" spans="2:23" ht="51" hidden="1" customHeight="1" x14ac:dyDescent="0.25">
      <c r="B191" s="85" t="s">
        <v>442</v>
      </c>
      <c r="C191" s="51" t="s">
        <v>443</v>
      </c>
      <c r="D191" s="59">
        <v>0</v>
      </c>
      <c r="E191" s="59">
        <v>0</v>
      </c>
      <c r="F191" s="59">
        <v>0</v>
      </c>
      <c r="G191" s="58">
        <v>0</v>
      </c>
      <c r="H191" s="58">
        <v>0</v>
      </c>
      <c r="I191" s="58">
        <v>0</v>
      </c>
      <c r="J191" s="58">
        <v>0</v>
      </c>
      <c r="K191" s="58">
        <v>0</v>
      </c>
      <c r="L191" s="58">
        <f>'2 lentelė'!L189</f>
        <v>176470.59</v>
      </c>
      <c r="M191" s="58">
        <f>'2 lentelė'!Q189</f>
        <v>150000</v>
      </c>
      <c r="N191" s="58">
        <v>0</v>
      </c>
      <c r="O191" s="58">
        <v>0</v>
      </c>
      <c r="P191" s="58">
        <v>0</v>
      </c>
      <c r="Q191" s="58">
        <v>0</v>
      </c>
      <c r="R191" s="58">
        <f t="shared" si="92"/>
        <v>176470.59</v>
      </c>
      <c r="S191" s="58">
        <f t="shared" si="92"/>
        <v>150000</v>
      </c>
      <c r="T191" s="149"/>
      <c r="U191" s="129"/>
      <c r="V191" s="128"/>
      <c r="W191" s="135"/>
    </row>
    <row r="192" spans="2:23" ht="51" hidden="1" customHeight="1" x14ac:dyDescent="0.25">
      <c r="B192" s="85" t="s">
        <v>444</v>
      </c>
      <c r="C192" s="51" t="s">
        <v>445</v>
      </c>
      <c r="D192" s="59">
        <v>0</v>
      </c>
      <c r="E192" s="59">
        <v>0</v>
      </c>
      <c r="F192" s="59">
        <v>0</v>
      </c>
      <c r="G192" s="58">
        <v>0</v>
      </c>
      <c r="H192" s="58">
        <v>0</v>
      </c>
      <c r="I192" s="58">
        <v>0</v>
      </c>
      <c r="J192" s="58">
        <v>0</v>
      </c>
      <c r="K192" s="58">
        <v>0</v>
      </c>
      <c r="L192" s="58">
        <v>0</v>
      </c>
      <c r="M192" s="58">
        <v>0</v>
      </c>
      <c r="N192" s="58">
        <f>'2 lentelė'!L190</f>
        <v>157956.47</v>
      </c>
      <c r="O192" s="58">
        <f>'2 lentelė'!Q190</f>
        <v>134262.99</v>
      </c>
      <c r="P192" s="58">
        <v>0</v>
      </c>
      <c r="Q192" s="58">
        <v>0</v>
      </c>
      <c r="R192" s="58">
        <f t="shared" si="92"/>
        <v>157956.47</v>
      </c>
      <c r="S192" s="58">
        <f t="shared" si="92"/>
        <v>134262.99</v>
      </c>
      <c r="T192" s="149"/>
      <c r="U192" s="129"/>
      <c r="V192" s="128"/>
      <c r="W192" s="135"/>
    </row>
    <row r="193" spans="2:23" ht="63.75" hidden="1" customHeight="1" x14ac:dyDescent="0.25">
      <c r="B193" s="85" t="s">
        <v>446</v>
      </c>
      <c r="C193" s="51" t="s">
        <v>447</v>
      </c>
      <c r="D193" s="59">
        <v>0</v>
      </c>
      <c r="E193" s="59">
        <v>0</v>
      </c>
      <c r="F193" s="59">
        <v>0</v>
      </c>
      <c r="G193" s="58">
        <v>0</v>
      </c>
      <c r="H193" s="58">
        <v>0</v>
      </c>
      <c r="I193" s="58">
        <v>0</v>
      </c>
      <c r="J193" s="58">
        <v>0</v>
      </c>
      <c r="K193" s="58">
        <v>0</v>
      </c>
      <c r="L193" s="58">
        <v>0</v>
      </c>
      <c r="M193" s="58">
        <v>0</v>
      </c>
      <c r="N193" s="58">
        <f>'2 lentelė'!L191</f>
        <v>70000</v>
      </c>
      <c r="O193" s="58">
        <f>'2 lentelė'!Q191</f>
        <v>59500</v>
      </c>
      <c r="P193" s="58">
        <v>0</v>
      </c>
      <c r="Q193" s="58">
        <v>0</v>
      </c>
      <c r="R193" s="58">
        <v>70000</v>
      </c>
      <c r="S193" s="58">
        <v>59500</v>
      </c>
      <c r="T193" s="95" t="s">
        <v>292</v>
      </c>
      <c r="U193" s="128"/>
      <c r="V193" s="128"/>
      <c r="W193" s="135"/>
    </row>
    <row r="194" spans="2:23" ht="15.75" customHeight="1" x14ac:dyDescent="0.25">
      <c r="B194" s="109"/>
      <c r="C194" s="109"/>
      <c r="D194" s="180" t="s">
        <v>23</v>
      </c>
      <c r="E194" s="181"/>
      <c r="F194" s="182"/>
      <c r="G194" s="109"/>
      <c r="H194" s="109"/>
      <c r="I194" s="109"/>
      <c r="J194" s="109"/>
      <c r="K194" s="109"/>
      <c r="L194" s="109"/>
      <c r="M194" s="109"/>
      <c r="N194" s="109"/>
      <c r="O194" s="109"/>
      <c r="P194" s="109"/>
      <c r="Q194" s="109"/>
      <c r="R194" s="109"/>
      <c r="S194" s="109"/>
      <c r="T194" s="95"/>
      <c r="U194" s="128"/>
      <c r="V194" s="128"/>
      <c r="W194" s="135"/>
    </row>
    <row r="195" spans="2:23" ht="38.25" customHeight="1" x14ac:dyDescent="0.25">
      <c r="B195" s="109"/>
      <c r="C195" s="109"/>
      <c r="D195" s="183">
        <v>2014</v>
      </c>
      <c r="E195" s="184"/>
      <c r="F195" s="183">
        <v>2015</v>
      </c>
      <c r="G195" s="184"/>
      <c r="H195" s="183">
        <v>2016</v>
      </c>
      <c r="I195" s="184"/>
      <c r="J195" s="183">
        <v>2017</v>
      </c>
      <c r="K195" s="184"/>
      <c r="L195" s="183">
        <v>2018</v>
      </c>
      <c r="M195" s="184"/>
      <c r="N195" s="183">
        <v>2019</v>
      </c>
      <c r="O195" s="184"/>
      <c r="P195" s="183">
        <v>2020</v>
      </c>
      <c r="Q195" s="184"/>
      <c r="R195" s="173" t="s">
        <v>9</v>
      </c>
      <c r="S195" s="174"/>
      <c r="T195" s="95"/>
      <c r="U195" s="128"/>
      <c r="V195" s="128"/>
      <c r="W195" s="135"/>
    </row>
    <row r="196" spans="2:23" ht="15.75" x14ac:dyDescent="0.25">
      <c r="B196" s="109"/>
      <c r="C196" s="109"/>
      <c r="D196" s="110" t="s">
        <v>12</v>
      </c>
      <c r="E196" s="110" t="s">
        <v>13</v>
      </c>
      <c r="F196" s="110" t="s">
        <v>12</v>
      </c>
      <c r="G196" s="110" t="s">
        <v>13</v>
      </c>
      <c r="H196" s="110" t="s">
        <v>12</v>
      </c>
      <c r="I196" s="110" t="s">
        <v>13</v>
      </c>
      <c r="J196" s="110" t="s">
        <v>12</v>
      </c>
      <c r="K196" s="110" t="s">
        <v>13</v>
      </c>
      <c r="L196" s="110" t="s">
        <v>12</v>
      </c>
      <c r="M196" s="110" t="s">
        <v>13</v>
      </c>
      <c r="N196" s="110" t="s">
        <v>12</v>
      </c>
      <c r="O196" s="110" t="s">
        <v>13</v>
      </c>
      <c r="P196" s="110" t="s">
        <v>12</v>
      </c>
      <c r="Q196" s="110" t="s">
        <v>13</v>
      </c>
      <c r="R196" s="110" t="s">
        <v>12</v>
      </c>
      <c r="S196" s="110" t="s">
        <v>13</v>
      </c>
      <c r="T196" s="95"/>
      <c r="U196" s="128"/>
      <c r="V196" s="128"/>
      <c r="W196" s="135"/>
    </row>
    <row r="197" spans="2:23" ht="15.75" x14ac:dyDescent="0.25">
      <c r="B197" s="109"/>
      <c r="C197" s="109"/>
      <c r="D197" s="59">
        <f t="shared" ref="D197:S197" si="93">D10+D67+D124</f>
        <v>0</v>
      </c>
      <c r="E197" s="59">
        <f t="shared" si="93"/>
        <v>0</v>
      </c>
      <c r="F197" s="59">
        <f t="shared" si="93"/>
        <v>0</v>
      </c>
      <c r="G197" s="59">
        <f t="shared" si="93"/>
        <v>0</v>
      </c>
      <c r="H197" s="59">
        <f t="shared" si="93"/>
        <v>17603199.120000001</v>
      </c>
      <c r="I197" s="59">
        <f t="shared" si="93"/>
        <v>12155489.109999999</v>
      </c>
      <c r="J197" s="59">
        <f t="shared" si="93"/>
        <v>25064497.789999999</v>
      </c>
      <c r="K197" s="59">
        <f t="shared" si="93"/>
        <v>20272971.629999999</v>
      </c>
      <c r="L197" s="59">
        <f t="shared" si="93"/>
        <v>13845466.470000001</v>
      </c>
      <c r="M197" s="59">
        <f t="shared" si="93"/>
        <v>10538560.190000001</v>
      </c>
      <c r="N197" s="59">
        <f t="shared" si="93"/>
        <v>19181733.580000002</v>
      </c>
      <c r="O197" s="59">
        <f t="shared" si="93"/>
        <v>9155061.3000000007</v>
      </c>
      <c r="P197" s="59">
        <f t="shared" si="93"/>
        <v>1841855.8100000003</v>
      </c>
      <c r="Q197" s="59">
        <f t="shared" si="93"/>
        <v>1084732.04</v>
      </c>
      <c r="R197" s="59">
        <f t="shared" si="93"/>
        <v>77800675.650000006</v>
      </c>
      <c r="S197" s="59">
        <f t="shared" si="93"/>
        <v>53206814.269999996</v>
      </c>
      <c r="T197" s="95"/>
      <c r="U197" s="128"/>
      <c r="V197" s="128"/>
      <c r="W197" s="135"/>
    </row>
    <row r="198" spans="2:23" ht="15.75" x14ac:dyDescent="0.25">
      <c r="B198" s="64"/>
      <c r="U198" s="135"/>
      <c r="V198" s="135"/>
      <c r="W198" s="135"/>
    </row>
    <row r="199" spans="2:23" x14ac:dyDescent="0.25">
      <c r="U199" s="135"/>
      <c r="V199" s="135"/>
      <c r="W199" s="135"/>
    </row>
    <row r="200" spans="2:23" ht="15.75" x14ac:dyDescent="0.25">
      <c r="B200" s="64"/>
    </row>
    <row r="201" spans="2:23" ht="15.75" x14ac:dyDescent="0.25">
      <c r="B201" s="127"/>
      <c r="C201" s="127"/>
      <c r="D201" s="127"/>
      <c r="E201" s="126"/>
      <c r="F201" s="126"/>
      <c r="G201" s="127"/>
    </row>
    <row r="202" spans="2:23" ht="15.75" x14ac:dyDescent="0.25">
      <c r="B202" s="127"/>
      <c r="C202" s="127"/>
      <c r="D202" s="127"/>
      <c r="E202" s="126"/>
      <c r="F202" s="126"/>
      <c r="G202" s="127"/>
    </row>
    <row r="203" spans="2:23" ht="15.75" x14ac:dyDescent="0.25">
      <c r="B203" s="127"/>
      <c r="C203" s="127"/>
      <c r="D203" s="127"/>
      <c r="E203" s="126"/>
      <c r="F203" s="126"/>
      <c r="G203" s="127"/>
    </row>
    <row r="204" spans="2:23" ht="15.75" x14ac:dyDescent="0.25">
      <c r="B204" s="127"/>
      <c r="C204" s="127"/>
      <c r="D204" s="127"/>
      <c r="E204" s="126"/>
      <c r="F204" s="126"/>
      <c r="G204" s="127"/>
    </row>
    <row r="205" spans="2:23" ht="15.75" x14ac:dyDescent="0.25">
      <c r="B205" s="127"/>
      <c r="C205" s="127"/>
      <c r="D205" s="127"/>
      <c r="E205" s="126"/>
      <c r="F205" s="126"/>
      <c r="G205" s="127"/>
    </row>
    <row r="206" spans="2:23" ht="15.75" x14ac:dyDescent="0.25">
      <c r="B206" s="127"/>
      <c r="C206" s="127"/>
      <c r="D206" s="127"/>
      <c r="E206" s="126"/>
      <c r="F206" s="126"/>
      <c r="G206" s="127"/>
    </row>
    <row r="207" spans="2:23" ht="15.75" x14ac:dyDescent="0.25">
      <c r="B207" s="127"/>
      <c r="C207" s="127"/>
      <c r="D207" s="127"/>
      <c r="E207" s="126"/>
      <c r="F207" s="126"/>
      <c r="G207" s="127"/>
    </row>
    <row r="208" spans="2:23" ht="15.75" x14ac:dyDescent="0.25">
      <c r="B208" s="127"/>
      <c r="C208" s="127"/>
      <c r="D208" s="127"/>
      <c r="E208" s="126"/>
      <c r="F208" s="126"/>
      <c r="G208" s="127"/>
    </row>
    <row r="209" spans="2:7" ht="15.75" x14ac:dyDescent="0.25">
      <c r="B209" s="127"/>
      <c r="C209" s="127"/>
      <c r="D209" s="127"/>
      <c r="E209" s="126"/>
      <c r="F209" s="126"/>
      <c r="G209" s="127"/>
    </row>
    <row r="210" spans="2:7" ht="15.75" x14ac:dyDescent="0.25">
      <c r="B210" s="127"/>
      <c r="C210" s="127"/>
      <c r="D210" s="127"/>
      <c r="E210" s="126"/>
      <c r="F210" s="126"/>
      <c r="G210" s="127"/>
    </row>
    <row r="211" spans="2:7" ht="15.75" x14ac:dyDescent="0.25">
      <c r="B211" s="127"/>
      <c r="C211" s="127"/>
      <c r="D211" s="127"/>
      <c r="E211" s="126"/>
      <c r="F211" s="126"/>
      <c r="G211" s="127"/>
    </row>
    <row r="212" spans="2:7" ht="15.75" x14ac:dyDescent="0.25">
      <c r="B212" s="127"/>
      <c r="C212" s="127"/>
      <c r="D212" s="127"/>
      <c r="E212" s="126"/>
      <c r="F212" s="126"/>
      <c r="G212" s="127"/>
    </row>
    <row r="213" spans="2:7" ht="15.75" x14ac:dyDescent="0.25">
      <c r="B213" s="127"/>
      <c r="C213" s="127"/>
      <c r="D213" s="127"/>
      <c r="E213" s="126"/>
      <c r="F213" s="126"/>
      <c r="G213" s="127"/>
    </row>
    <row r="214" spans="2:7" ht="15.75" x14ac:dyDescent="0.25">
      <c r="B214" s="127"/>
      <c r="C214" s="127"/>
      <c r="D214" s="127"/>
      <c r="E214" s="126"/>
      <c r="F214" s="126"/>
      <c r="G214" s="127"/>
    </row>
    <row r="215" spans="2:7" ht="15.75" x14ac:dyDescent="0.25">
      <c r="B215" s="127"/>
      <c r="C215" s="127"/>
      <c r="D215" s="127"/>
      <c r="E215" s="126"/>
      <c r="F215" s="126"/>
      <c r="G215" s="127"/>
    </row>
    <row r="216" spans="2:7" ht="15.75" x14ac:dyDescent="0.25">
      <c r="B216" s="127"/>
      <c r="C216" s="127"/>
      <c r="D216" s="127"/>
      <c r="E216" s="126"/>
      <c r="F216" s="126"/>
      <c r="G216" s="127"/>
    </row>
    <row r="217" spans="2:7" ht="15.75" x14ac:dyDescent="0.25">
      <c r="B217" s="127"/>
      <c r="C217" s="127"/>
      <c r="D217" s="127"/>
      <c r="E217" s="126"/>
      <c r="F217" s="126"/>
      <c r="G217" s="127"/>
    </row>
    <row r="218" spans="2:7" x14ac:dyDescent="0.25">
      <c r="B218" s="126"/>
      <c r="C218" s="126"/>
      <c r="D218" s="126"/>
      <c r="E218" s="126"/>
      <c r="F218" s="126"/>
      <c r="G218" s="126"/>
    </row>
  </sheetData>
  <mergeCells count="21">
    <mergeCell ref="F8:G8"/>
    <mergeCell ref="H8:I8"/>
    <mergeCell ref="J8:K8"/>
    <mergeCell ref="L8:M8"/>
    <mergeCell ref="N8:O8"/>
    <mergeCell ref="R195:S195"/>
    <mergeCell ref="B5:S5"/>
    <mergeCell ref="P1:S1"/>
    <mergeCell ref="P2:S2"/>
    <mergeCell ref="P3:S3"/>
    <mergeCell ref="P8:Q8"/>
    <mergeCell ref="R8:S8"/>
    <mergeCell ref="D194:F194"/>
    <mergeCell ref="D195:E195"/>
    <mergeCell ref="F195:G195"/>
    <mergeCell ref="H195:I195"/>
    <mergeCell ref="J195:K195"/>
    <mergeCell ref="L195:M195"/>
    <mergeCell ref="N195:O195"/>
    <mergeCell ref="P195:Q195"/>
    <mergeCell ref="D8:E8"/>
  </mergeCells>
  <pageMargins left="0.7" right="0.7"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4"/>
  <sheetViews>
    <sheetView tabSelected="1" zoomScale="90" zoomScaleNormal="90" workbookViewId="0">
      <pane ySplit="6" topLeftCell="A109" activePane="bottomLeft" state="frozen"/>
      <selection pane="bottomLeft" activeCell="K112" sqref="K112"/>
    </sheetView>
  </sheetViews>
  <sheetFormatPr defaultRowHeight="15" x14ac:dyDescent="0.25"/>
  <cols>
    <col min="1" max="1" width="4.42578125" style="4"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1" max="11" width="12" customWidth="1"/>
    <col min="12" max="12" width="11.7109375" customWidth="1"/>
    <col min="13" max="13" width="12.7109375" customWidth="1"/>
    <col min="14" max="14" width="11.140625" bestFit="1" customWidth="1"/>
    <col min="15" max="15" width="10.42578125" customWidth="1"/>
    <col min="17" max="17" width="13.5703125" style="4" customWidth="1"/>
    <col min="18" max="18" width="9.140625" customWidth="1"/>
    <col min="19" max="19" width="12.140625" customWidth="1"/>
    <col min="20" max="20" width="12" customWidth="1"/>
    <col min="21" max="21" width="12.5703125" customWidth="1"/>
    <col min="22" max="22" width="11.140625" customWidth="1"/>
  </cols>
  <sheetData>
    <row r="1" spans="2:22" ht="15.75" x14ac:dyDescent="0.25">
      <c r="S1" s="190" t="s">
        <v>141</v>
      </c>
      <c r="T1" s="190"/>
      <c r="U1" s="190"/>
    </row>
    <row r="2" spans="2:22" ht="15.75" x14ac:dyDescent="0.25">
      <c r="S2" s="191" t="s">
        <v>24</v>
      </c>
      <c r="T2" s="191"/>
      <c r="U2" s="191"/>
    </row>
    <row r="3" spans="2:22" ht="15.75" x14ac:dyDescent="0.25">
      <c r="S3" s="191" t="s">
        <v>25</v>
      </c>
      <c r="T3" s="191"/>
      <c r="U3" s="191"/>
    </row>
    <row r="4" spans="2:22" ht="15.75" x14ac:dyDescent="0.25">
      <c r="B4" s="1" t="s">
        <v>26</v>
      </c>
      <c r="C4" s="4"/>
      <c r="D4" s="4"/>
      <c r="E4" s="4"/>
      <c r="F4" s="4"/>
      <c r="G4" s="4"/>
      <c r="H4" s="4"/>
      <c r="I4" s="4"/>
      <c r="J4" s="4"/>
      <c r="K4" s="4"/>
      <c r="L4" s="4"/>
      <c r="M4" s="4"/>
      <c r="N4" s="4"/>
      <c r="O4" s="4"/>
      <c r="P4" s="4"/>
      <c r="R4" s="4"/>
      <c r="S4" s="4"/>
      <c r="T4" s="4"/>
      <c r="U4" s="4"/>
      <c r="V4" s="4"/>
    </row>
    <row r="5" spans="2:22" ht="15" customHeight="1" x14ac:dyDescent="0.25">
      <c r="B5" s="186" t="s">
        <v>27</v>
      </c>
      <c r="C5" s="186"/>
      <c r="D5" s="186"/>
      <c r="E5" s="186"/>
      <c r="F5" s="186"/>
      <c r="G5" s="186"/>
      <c r="H5" s="186"/>
      <c r="I5" s="186"/>
      <c r="J5" s="186"/>
      <c r="K5" s="186"/>
      <c r="L5" s="187" t="s">
        <v>28</v>
      </c>
      <c r="M5" s="188"/>
      <c r="N5" s="188"/>
      <c r="O5" s="188"/>
      <c r="P5" s="188"/>
      <c r="Q5" s="188"/>
      <c r="R5" s="189"/>
      <c r="S5" s="187" t="s">
        <v>29</v>
      </c>
      <c r="T5" s="188"/>
      <c r="U5" s="188"/>
      <c r="V5" s="189"/>
    </row>
    <row r="6" spans="2:22" ht="84" x14ac:dyDescent="0.25">
      <c r="B6" s="10" t="s">
        <v>10</v>
      </c>
      <c r="C6" s="10" t="s">
        <v>136</v>
      </c>
      <c r="D6" s="10" t="s">
        <v>30</v>
      </c>
      <c r="E6" s="10" t="s">
        <v>145</v>
      </c>
      <c r="F6" s="10" t="s">
        <v>31</v>
      </c>
      <c r="G6" s="10" t="s">
        <v>32</v>
      </c>
      <c r="H6" s="11" t="s">
        <v>33</v>
      </c>
      <c r="I6" s="10" t="s">
        <v>34</v>
      </c>
      <c r="J6" s="10" t="s">
        <v>35</v>
      </c>
      <c r="K6" s="10" t="s">
        <v>36</v>
      </c>
      <c r="L6" s="10" t="s">
        <v>37</v>
      </c>
      <c r="M6" s="10" t="s">
        <v>38</v>
      </c>
      <c r="N6" s="10" t="s">
        <v>39</v>
      </c>
      <c r="O6" s="10" t="s">
        <v>40</v>
      </c>
      <c r="P6" s="10" t="s">
        <v>41</v>
      </c>
      <c r="Q6" s="20" t="s">
        <v>13</v>
      </c>
      <c r="R6" s="10" t="s">
        <v>144</v>
      </c>
      <c r="S6" s="27" t="s">
        <v>42</v>
      </c>
      <c r="T6" s="10" t="s">
        <v>43</v>
      </c>
      <c r="U6" s="10" t="s">
        <v>44</v>
      </c>
      <c r="V6" s="10" t="s">
        <v>45</v>
      </c>
    </row>
    <row r="7" spans="2:22" ht="67.5" customHeight="1" x14ac:dyDescent="0.25">
      <c r="B7" s="53" t="s">
        <v>14</v>
      </c>
      <c r="C7" s="53"/>
      <c r="D7" s="53" t="s">
        <v>944</v>
      </c>
      <c r="E7" s="53"/>
      <c r="F7" s="53"/>
      <c r="G7" s="53"/>
      <c r="H7" s="53"/>
      <c r="I7" s="53"/>
      <c r="J7" s="53"/>
      <c r="K7" s="53"/>
      <c r="L7" s="53"/>
      <c r="M7" s="53"/>
      <c r="N7" s="53"/>
      <c r="O7" s="53"/>
      <c r="P7" s="53"/>
      <c r="Q7" s="53"/>
      <c r="R7" s="53"/>
      <c r="S7" s="53"/>
      <c r="T7" s="53"/>
      <c r="U7" s="53"/>
      <c r="V7" s="53"/>
    </row>
    <row r="8" spans="2:22" ht="194.25" customHeight="1" x14ac:dyDescent="0.25">
      <c r="B8" s="7" t="s">
        <v>46</v>
      </c>
      <c r="C8" s="25"/>
      <c r="D8" s="30" t="s">
        <v>149</v>
      </c>
      <c r="E8" s="25"/>
      <c r="F8" s="7"/>
      <c r="G8" s="7"/>
      <c r="H8" s="25"/>
      <c r="I8" s="7"/>
      <c r="J8" s="25"/>
      <c r="K8" s="7"/>
      <c r="L8" s="7"/>
      <c r="M8" s="25"/>
      <c r="N8" s="7"/>
      <c r="O8" s="25"/>
      <c r="P8" s="7"/>
      <c r="Q8" s="7"/>
      <c r="R8" s="25"/>
      <c r="S8" s="7"/>
      <c r="T8" s="7"/>
      <c r="U8" s="7"/>
      <c r="V8" s="25"/>
    </row>
    <row r="9" spans="2:22" ht="114.75" x14ac:dyDescent="0.25">
      <c r="B9" s="8" t="s">
        <v>48</v>
      </c>
      <c r="C9" s="21"/>
      <c r="D9" s="21" t="s">
        <v>150</v>
      </c>
      <c r="E9" s="21"/>
      <c r="F9" s="8"/>
      <c r="G9" s="21"/>
      <c r="H9" s="8"/>
      <c r="I9" s="21"/>
      <c r="J9" s="8"/>
      <c r="K9" s="21"/>
      <c r="L9" s="8"/>
      <c r="M9" s="21"/>
      <c r="N9" s="8"/>
      <c r="O9" s="21"/>
      <c r="P9" s="8"/>
      <c r="Q9" s="21"/>
      <c r="R9" s="8"/>
      <c r="S9" s="21"/>
      <c r="T9" s="21"/>
      <c r="U9" s="8"/>
      <c r="V9" s="21"/>
    </row>
    <row r="10" spans="2:22" ht="51" customHeight="1" x14ac:dyDescent="0.25">
      <c r="B10" s="22" t="s">
        <v>49</v>
      </c>
      <c r="C10" s="22"/>
      <c r="D10" s="22" t="s">
        <v>448</v>
      </c>
      <c r="E10" s="22"/>
      <c r="F10" s="22"/>
      <c r="G10" s="22"/>
      <c r="H10" s="22"/>
      <c r="I10" s="22"/>
      <c r="J10" s="22"/>
      <c r="K10" s="22"/>
      <c r="L10" s="22"/>
      <c r="M10" s="22"/>
      <c r="N10" s="22"/>
      <c r="O10" s="22"/>
      <c r="P10" s="22"/>
      <c r="Q10" s="22"/>
      <c r="R10" s="22"/>
      <c r="S10" s="22"/>
      <c r="T10" s="22"/>
      <c r="U10" s="22"/>
      <c r="V10" s="22"/>
    </row>
    <row r="11" spans="2:22" ht="65.25" customHeight="1" x14ac:dyDescent="0.25">
      <c r="B11" s="93" t="s">
        <v>50</v>
      </c>
      <c r="C11" s="12" t="s">
        <v>517</v>
      </c>
      <c r="D11" s="31" t="s">
        <v>152</v>
      </c>
      <c r="E11" s="31" t="s">
        <v>453</v>
      </c>
      <c r="F11" s="31" t="s">
        <v>454</v>
      </c>
      <c r="G11" s="31" t="s">
        <v>455</v>
      </c>
      <c r="H11" s="31" t="s">
        <v>456</v>
      </c>
      <c r="I11" s="31" t="s">
        <v>457</v>
      </c>
      <c r="J11" s="31" t="s">
        <v>458</v>
      </c>
      <c r="K11" s="31" t="s">
        <v>47</v>
      </c>
      <c r="L11" s="42">
        <v>1774839.96</v>
      </c>
      <c r="M11" s="42">
        <v>206248.95999999999</v>
      </c>
      <c r="N11" s="42">
        <v>127183.06</v>
      </c>
      <c r="O11" s="42">
        <v>0</v>
      </c>
      <c r="P11" s="42">
        <v>0</v>
      </c>
      <c r="Q11" s="42">
        <v>1441407.94</v>
      </c>
      <c r="R11" s="42">
        <v>0</v>
      </c>
      <c r="S11" s="106" t="s">
        <v>493</v>
      </c>
      <c r="T11" s="106" t="s">
        <v>475</v>
      </c>
      <c r="U11" s="106" t="s">
        <v>476</v>
      </c>
      <c r="V11" s="106">
        <v>2020</v>
      </c>
    </row>
    <row r="12" spans="2:22" ht="66.75" customHeight="1" x14ac:dyDescent="0.25">
      <c r="B12" s="93" t="s">
        <v>51</v>
      </c>
      <c r="C12" s="28" t="s">
        <v>518</v>
      </c>
      <c r="D12" s="31" t="s">
        <v>459</v>
      </c>
      <c r="E12" s="31" t="s">
        <v>453</v>
      </c>
      <c r="F12" s="31" t="s">
        <v>454</v>
      </c>
      <c r="G12" s="31" t="s">
        <v>460</v>
      </c>
      <c r="H12" s="31" t="s">
        <v>456</v>
      </c>
      <c r="I12" s="31" t="s">
        <v>457</v>
      </c>
      <c r="J12" s="31" t="s">
        <v>458</v>
      </c>
      <c r="K12" s="31" t="s">
        <v>47</v>
      </c>
      <c r="L12" s="42">
        <v>1142603.75</v>
      </c>
      <c r="M12" s="42">
        <v>183604.75</v>
      </c>
      <c r="N12" s="42">
        <v>77757</v>
      </c>
      <c r="O12" s="42">
        <v>0</v>
      </c>
      <c r="P12" s="42">
        <v>0</v>
      </c>
      <c r="Q12" s="42">
        <v>881242</v>
      </c>
      <c r="R12" s="42">
        <v>0</v>
      </c>
      <c r="S12" s="106" t="s">
        <v>494</v>
      </c>
      <c r="T12" s="106" t="s">
        <v>477</v>
      </c>
      <c r="U12" s="106" t="s">
        <v>478</v>
      </c>
      <c r="V12" s="106">
        <v>2019</v>
      </c>
    </row>
    <row r="13" spans="2:22" s="4" customFormat="1" ht="76.5" x14ac:dyDescent="0.25">
      <c r="B13" s="93" t="s">
        <v>154</v>
      </c>
      <c r="C13" s="28" t="s">
        <v>519</v>
      </c>
      <c r="D13" s="31" t="s">
        <v>155</v>
      </c>
      <c r="E13" s="31" t="s">
        <v>453</v>
      </c>
      <c r="F13" s="31" t="s">
        <v>454</v>
      </c>
      <c r="G13" s="31" t="s">
        <v>460</v>
      </c>
      <c r="H13" s="31" t="s">
        <v>456</v>
      </c>
      <c r="I13" s="31" t="s">
        <v>457</v>
      </c>
      <c r="J13" s="31" t="s">
        <v>458</v>
      </c>
      <c r="K13" s="31" t="s">
        <v>47</v>
      </c>
      <c r="L13" s="42">
        <v>672604.19</v>
      </c>
      <c r="M13" s="42">
        <v>50445.32</v>
      </c>
      <c r="N13" s="42">
        <v>50445.32</v>
      </c>
      <c r="O13" s="42">
        <v>0</v>
      </c>
      <c r="P13" s="42">
        <v>0</v>
      </c>
      <c r="Q13" s="42">
        <v>571713.55000000005</v>
      </c>
      <c r="R13" s="42">
        <v>0</v>
      </c>
      <c r="S13" s="106" t="s">
        <v>495</v>
      </c>
      <c r="T13" s="106" t="s">
        <v>479</v>
      </c>
      <c r="U13" s="106" t="s">
        <v>480</v>
      </c>
      <c r="V13" s="106">
        <v>2018</v>
      </c>
    </row>
    <row r="14" spans="2:22" s="4" customFormat="1" ht="63.75" customHeight="1" x14ac:dyDescent="0.25">
      <c r="B14" s="28" t="s">
        <v>449</v>
      </c>
      <c r="C14" s="28" t="s">
        <v>520</v>
      </c>
      <c r="D14" s="31" t="s">
        <v>461</v>
      </c>
      <c r="E14" s="31" t="s">
        <v>462</v>
      </c>
      <c r="F14" s="31" t="s">
        <v>463</v>
      </c>
      <c r="G14" s="31" t="s">
        <v>464</v>
      </c>
      <c r="H14" s="31" t="s">
        <v>456</v>
      </c>
      <c r="I14" s="31" t="s">
        <v>465</v>
      </c>
      <c r="J14" s="31" t="s">
        <v>466</v>
      </c>
      <c r="K14" s="31" t="s">
        <v>467</v>
      </c>
      <c r="L14" s="42">
        <v>1426434</v>
      </c>
      <c r="M14" s="42">
        <v>106983</v>
      </c>
      <c r="N14" s="42">
        <v>106983</v>
      </c>
      <c r="O14" s="42">
        <v>0</v>
      </c>
      <c r="P14" s="42">
        <v>0</v>
      </c>
      <c r="Q14" s="42">
        <v>1212468</v>
      </c>
      <c r="R14" s="42">
        <v>0</v>
      </c>
      <c r="S14" s="106" t="s">
        <v>489</v>
      </c>
      <c r="T14" s="106" t="s">
        <v>481</v>
      </c>
      <c r="U14" s="106" t="s">
        <v>482</v>
      </c>
      <c r="V14" s="106">
        <v>2022</v>
      </c>
    </row>
    <row r="15" spans="2:22" s="4" customFormat="1" ht="114.75" x14ac:dyDescent="0.25">
      <c r="B15" s="93" t="s">
        <v>158</v>
      </c>
      <c r="C15" s="28" t="s">
        <v>521</v>
      </c>
      <c r="D15" s="31" t="s">
        <v>159</v>
      </c>
      <c r="E15" s="31" t="s">
        <v>468</v>
      </c>
      <c r="F15" s="31" t="s">
        <v>454</v>
      </c>
      <c r="G15" s="31" t="s">
        <v>469</v>
      </c>
      <c r="H15" s="31" t="s">
        <v>456</v>
      </c>
      <c r="I15" s="31" t="s">
        <v>457</v>
      </c>
      <c r="J15" s="31" t="s">
        <v>458</v>
      </c>
      <c r="K15" s="31" t="s">
        <v>47</v>
      </c>
      <c r="L15" s="42">
        <v>985873.28</v>
      </c>
      <c r="M15" s="42">
        <v>450076.28</v>
      </c>
      <c r="N15" s="42">
        <v>43443</v>
      </c>
      <c r="O15" s="42">
        <v>0</v>
      </c>
      <c r="P15" s="42">
        <v>0</v>
      </c>
      <c r="Q15" s="42">
        <v>492354</v>
      </c>
      <c r="R15" s="42">
        <v>0</v>
      </c>
      <c r="S15" s="106">
        <v>2016</v>
      </c>
      <c r="T15" s="106" t="s">
        <v>483</v>
      </c>
      <c r="U15" s="106" t="s">
        <v>479</v>
      </c>
      <c r="V15" s="106">
        <v>2019</v>
      </c>
    </row>
    <row r="16" spans="2:22" s="4" customFormat="1" ht="66" customHeight="1" x14ac:dyDescent="0.25">
      <c r="B16" s="87" t="s">
        <v>160</v>
      </c>
      <c r="C16" s="93" t="s">
        <v>1021</v>
      </c>
      <c r="D16" s="86" t="s">
        <v>470</v>
      </c>
      <c r="E16" s="86" t="s">
        <v>468</v>
      </c>
      <c r="F16" s="86" t="s">
        <v>454</v>
      </c>
      <c r="G16" s="86" t="s">
        <v>469</v>
      </c>
      <c r="H16" s="86" t="s">
        <v>456</v>
      </c>
      <c r="I16" s="86" t="s">
        <v>457</v>
      </c>
      <c r="J16" s="86" t="s">
        <v>458</v>
      </c>
      <c r="K16" s="86" t="s">
        <v>47</v>
      </c>
      <c r="L16" s="86">
        <v>282353</v>
      </c>
      <c r="M16" s="86">
        <v>21177</v>
      </c>
      <c r="N16" s="86">
        <v>21176</v>
      </c>
      <c r="O16" s="86">
        <v>0</v>
      </c>
      <c r="P16" s="86">
        <v>0</v>
      </c>
      <c r="Q16" s="86">
        <v>240000</v>
      </c>
      <c r="R16" s="86">
        <v>0</v>
      </c>
      <c r="S16" s="88" t="s">
        <v>484</v>
      </c>
      <c r="T16" s="88" t="s">
        <v>640</v>
      </c>
      <c r="U16" s="88" t="s">
        <v>485</v>
      </c>
      <c r="V16" s="88">
        <v>2020</v>
      </c>
    </row>
    <row r="17" spans="2:24" s="84" customFormat="1" ht="68.25" customHeight="1" x14ac:dyDescent="0.25">
      <c r="B17" s="87" t="s">
        <v>162</v>
      </c>
      <c r="C17" s="87" t="s">
        <v>523</v>
      </c>
      <c r="D17" s="86" t="s">
        <v>163</v>
      </c>
      <c r="E17" s="86" t="s">
        <v>471</v>
      </c>
      <c r="F17" s="86" t="s">
        <v>463</v>
      </c>
      <c r="G17" s="86" t="s">
        <v>472</v>
      </c>
      <c r="H17" s="86" t="s">
        <v>456</v>
      </c>
      <c r="I17" s="86" t="s">
        <v>465</v>
      </c>
      <c r="J17" s="86" t="s">
        <v>466</v>
      </c>
      <c r="K17" s="86" t="s">
        <v>467</v>
      </c>
      <c r="L17" s="86">
        <v>827649.08</v>
      </c>
      <c r="M17" s="86">
        <v>62073.68</v>
      </c>
      <c r="N17" s="86">
        <v>62073.68</v>
      </c>
      <c r="O17" s="86">
        <v>0</v>
      </c>
      <c r="P17" s="86">
        <v>0</v>
      </c>
      <c r="Q17" s="86">
        <v>703501.72</v>
      </c>
      <c r="R17" s="86">
        <v>0</v>
      </c>
      <c r="S17" s="88" t="s">
        <v>484</v>
      </c>
      <c r="T17" s="88" t="s">
        <v>967</v>
      </c>
      <c r="U17" s="88" t="s">
        <v>482</v>
      </c>
      <c r="V17" s="88">
        <v>2020</v>
      </c>
    </row>
    <row r="18" spans="2:24" s="84" customFormat="1" ht="140.25" x14ac:dyDescent="0.25">
      <c r="B18" s="93" t="s">
        <v>164</v>
      </c>
      <c r="C18" s="93" t="s">
        <v>524</v>
      </c>
      <c r="D18" s="38" t="s">
        <v>165</v>
      </c>
      <c r="E18" s="38" t="s">
        <v>471</v>
      </c>
      <c r="F18" s="38" t="s">
        <v>463</v>
      </c>
      <c r="G18" s="38" t="s">
        <v>472</v>
      </c>
      <c r="H18" s="38" t="s">
        <v>456</v>
      </c>
      <c r="I18" s="38" t="s">
        <v>457</v>
      </c>
      <c r="J18" s="38" t="s">
        <v>458</v>
      </c>
      <c r="K18" s="38" t="s">
        <v>47</v>
      </c>
      <c r="L18" s="86">
        <v>645806.42000000004</v>
      </c>
      <c r="M18" s="86">
        <v>65037.42</v>
      </c>
      <c r="N18" s="86">
        <v>47089.38</v>
      </c>
      <c r="O18" s="86">
        <v>0</v>
      </c>
      <c r="P18" s="86">
        <v>0</v>
      </c>
      <c r="Q18" s="86">
        <v>533679.62</v>
      </c>
      <c r="R18" s="86">
        <v>0</v>
      </c>
      <c r="S18" s="88" t="s">
        <v>496</v>
      </c>
      <c r="T18" s="88" t="s">
        <v>478</v>
      </c>
      <c r="U18" s="88" t="s">
        <v>497</v>
      </c>
      <c r="V18" s="88">
        <v>2019</v>
      </c>
      <c r="W18" s="95"/>
      <c r="X18" s="95"/>
    </row>
    <row r="19" spans="2:24" s="84" customFormat="1" ht="69.75" customHeight="1" x14ac:dyDescent="0.25">
      <c r="B19" s="93" t="s">
        <v>450</v>
      </c>
      <c r="C19" s="93" t="s">
        <v>498</v>
      </c>
      <c r="D19" s="38" t="s">
        <v>167</v>
      </c>
      <c r="E19" s="38" t="s">
        <v>468</v>
      </c>
      <c r="F19" s="38" t="s">
        <v>454</v>
      </c>
      <c r="G19" s="38" t="s">
        <v>469</v>
      </c>
      <c r="H19" s="38" t="s">
        <v>456</v>
      </c>
      <c r="I19" s="38" t="s">
        <v>457</v>
      </c>
      <c r="J19" s="38" t="s">
        <v>458</v>
      </c>
      <c r="K19" s="38" t="s">
        <v>47</v>
      </c>
      <c r="L19" s="86">
        <v>1137262.6599999999</v>
      </c>
      <c r="M19" s="86">
        <v>375497.66</v>
      </c>
      <c r="N19" s="86">
        <v>61765</v>
      </c>
      <c r="O19" s="86">
        <v>0</v>
      </c>
      <c r="P19" s="86">
        <v>0</v>
      </c>
      <c r="Q19" s="86">
        <v>700000</v>
      </c>
      <c r="R19" s="86">
        <v>0</v>
      </c>
      <c r="S19" s="88" t="s">
        <v>497</v>
      </c>
      <c r="T19" s="88" t="s">
        <v>475</v>
      </c>
      <c r="U19" s="88" t="s">
        <v>491</v>
      </c>
      <c r="V19" s="88">
        <v>2020</v>
      </c>
    </row>
    <row r="20" spans="2:24" s="84" customFormat="1" ht="69.75" customHeight="1" x14ac:dyDescent="0.25">
      <c r="B20" s="93" t="s">
        <v>451</v>
      </c>
      <c r="C20" s="93" t="s">
        <v>515</v>
      </c>
      <c r="D20" s="38" t="s">
        <v>473</v>
      </c>
      <c r="E20" s="38" t="s">
        <v>471</v>
      </c>
      <c r="F20" s="38" t="s">
        <v>463</v>
      </c>
      <c r="G20" s="38" t="s">
        <v>472</v>
      </c>
      <c r="H20" s="38" t="s">
        <v>456</v>
      </c>
      <c r="I20" s="38" t="s">
        <v>465</v>
      </c>
      <c r="J20" s="38" t="s">
        <v>466</v>
      </c>
      <c r="K20" s="38" t="s">
        <v>467</v>
      </c>
      <c r="L20" s="86">
        <v>1365071.92</v>
      </c>
      <c r="M20" s="86">
        <v>423204.92</v>
      </c>
      <c r="N20" s="86">
        <v>76367.600000000006</v>
      </c>
      <c r="O20" s="86">
        <v>0</v>
      </c>
      <c r="P20" s="86">
        <v>0</v>
      </c>
      <c r="Q20" s="86">
        <v>865499.4</v>
      </c>
      <c r="R20" s="86">
        <v>0</v>
      </c>
      <c r="S20" s="88" t="s">
        <v>480</v>
      </c>
      <c r="T20" s="88" t="s">
        <v>478</v>
      </c>
      <c r="U20" s="88" t="s">
        <v>488</v>
      </c>
      <c r="V20" s="88">
        <v>2020</v>
      </c>
    </row>
    <row r="21" spans="2:24" s="84" customFormat="1" ht="89.25" x14ac:dyDescent="0.25">
      <c r="B21" s="87" t="s">
        <v>170</v>
      </c>
      <c r="C21" s="87" t="s">
        <v>516</v>
      </c>
      <c r="D21" s="86" t="s">
        <v>171</v>
      </c>
      <c r="E21" s="86" t="s">
        <v>471</v>
      </c>
      <c r="F21" s="86" t="s">
        <v>463</v>
      </c>
      <c r="G21" s="86" t="s">
        <v>472</v>
      </c>
      <c r="H21" s="86" t="s">
        <v>456</v>
      </c>
      <c r="I21" s="86" t="s">
        <v>465</v>
      </c>
      <c r="J21" s="86" t="s">
        <v>466</v>
      </c>
      <c r="K21" s="86" t="s">
        <v>467</v>
      </c>
      <c r="L21" s="86">
        <v>293730.83</v>
      </c>
      <c r="M21" s="86">
        <v>22029.81</v>
      </c>
      <c r="N21" s="86">
        <v>22029.81</v>
      </c>
      <c r="O21" s="86">
        <v>0</v>
      </c>
      <c r="P21" s="86">
        <v>0</v>
      </c>
      <c r="Q21" s="86">
        <v>249671.21</v>
      </c>
      <c r="R21" s="86">
        <v>0</v>
      </c>
      <c r="S21" s="88" t="s">
        <v>484</v>
      </c>
      <c r="T21" s="88" t="s">
        <v>482</v>
      </c>
      <c r="U21" s="88" t="s">
        <v>1042</v>
      </c>
      <c r="V21" s="88">
        <v>2020</v>
      </c>
    </row>
    <row r="22" spans="2:24" s="4" customFormat="1" ht="76.5" x14ac:dyDescent="0.25">
      <c r="B22" s="93" t="s">
        <v>172</v>
      </c>
      <c r="C22" s="28" t="s">
        <v>525</v>
      </c>
      <c r="D22" s="31" t="s">
        <v>173</v>
      </c>
      <c r="E22" s="31" t="s">
        <v>468</v>
      </c>
      <c r="F22" s="31" t="s">
        <v>454</v>
      </c>
      <c r="G22" s="31" t="s">
        <v>469</v>
      </c>
      <c r="H22" s="31" t="s">
        <v>456</v>
      </c>
      <c r="I22" s="31" t="s">
        <v>457</v>
      </c>
      <c r="J22" s="31" t="s">
        <v>458</v>
      </c>
      <c r="K22" s="31" t="s">
        <v>47</v>
      </c>
      <c r="L22" s="42">
        <v>1029990.44</v>
      </c>
      <c r="M22" s="42">
        <v>159402.44</v>
      </c>
      <c r="N22" s="42">
        <v>70588.22</v>
      </c>
      <c r="O22" s="42">
        <v>0</v>
      </c>
      <c r="P22" s="42">
        <v>0</v>
      </c>
      <c r="Q22" s="42">
        <v>799999.78</v>
      </c>
      <c r="R22" s="42">
        <v>0</v>
      </c>
      <c r="S22" s="88">
        <v>2016</v>
      </c>
      <c r="T22" s="88" t="s">
        <v>490</v>
      </c>
      <c r="U22" s="88" t="s">
        <v>493</v>
      </c>
      <c r="V22" s="106">
        <v>2019</v>
      </c>
    </row>
    <row r="23" spans="2:24" s="4" customFormat="1" ht="76.5" customHeight="1" x14ac:dyDescent="0.25">
      <c r="B23" s="87" t="s">
        <v>174</v>
      </c>
      <c r="C23" s="93" t="s">
        <v>1020</v>
      </c>
      <c r="D23" s="86" t="s">
        <v>175</v>
      </c>
      <c r="E23" s="86" t="s">
        <v>468</v>
      </c>
      <c r="F23" s="86" t="s">
        <v>454</v>
      </c>
      <c r="G23" s="86" t="s">
        <v>469</v>
      </c>
      <c r="H23" s="86" t="s">
        <v>456</v>
      </c>
      <c r="I23" s="86" t="s">
        <v>457</v>
      </c>
      <c r="J23" s="86" t="s">
        <v>458</v>
      </c>
      <c r="K23" s="86" t="s">
        <v>47</v>
      </c>
      <c r="L23" s="86">
        <v>609390</v>
      </c>
      <c r="M23" s="86">
        <v>257125</v>
      </c>
      <c r="N23" s="86">
        <v>28562</v>
      </c>
      <c r="O23" s="86">
        <v>0</v>
      </c>
      <c r="P23" s="86">
        <v>0</v>
      </c>
      <c r="Q23" s="86">
        <v>323703</v>
      </c>
      <c r="R23" s="86">
        <v>0</v>
      </c>
      <c r="S23" s="88" t="s">
        <v>484</v>
      </c>
      <c r="T23" s="88" t="s">
        <v>640</v>
      </c>
      <c r="U23" s="88" t="s">
        <v>485</v>
      </c>
      <c r="V23" s="88">
        <v>2020</v>
      </c>
    </row>
    <row r="24" spans="2:24" s="4" customFormat="1" ht="68.25" customHeight="1" x14ac:dyDescent="0.25">
      <c r="B24" s="93" t="s">
        <v>452</v>
      </c>
      <c r="C24" s="28" t="s">
        <v>527</v>
      </c>
      <c r="D24" s="31" t="s">
        <v>474</v>
      </c>
      <c r="E24" s="31" t="s">
        <v>471</v>
      </c>
      <c r="F24" s="31" t="s">
        <v>463</v>
      </c>
      <c r="G24" s="31" t="s">
        <v>472</v>
      </c>
      <c r="H24" s="31" t="s">
        <v>456</v>
      </c>
      <c r="I24" s="31" t="s">
        <v>465</v>
      </c>
      <c r="J24" s="31" t="s">
        <v>466</v>
      </c>
      <c r="K24" s="31" t="s">
        <v>467</v>
      </c>
      <c r="L24" s="31">
        <v>518360.92</v>
      </c>
      <c r="M24" s="31">
        <v>38877.07</v>
      </c>
      <c r="N24" s="31">
        <v>38877.07</v>
      </c>
      <c r="O24" s="31">
        <v>0</v>
      </c>
      <c r="P24" s="31">
        <v>0</v>
      </c>
      <c r="Q24" s="31">
        <v>440606.78</v>
      </c>
      <c r="R24" s="31">
        <v>0</v>
      </c>
      <c r="S24" s="32" t="s">
        <v>493</v>
      </c>
      <c r="T24" s="32" t="s">
        <v>492</v>
      </c>
      <c r="U24" s="32" t="s">
        <v>488</v>
      </c>
      <c r="V24" s="32">
        <v>2019</v>
      </c>
    </row>
    <row r="25" spans="2:24" s="4" customFormat="1" ht="63.75" customHeight="1" x14ac:dyDescent="0.25">
      <c r="B25" s="22" t="s">
        <v>52</v>
      </c>
      <c r="C25" s="22"/>
      <c r="D25" s="22" t="s">
        <v>499</v>
      </c>
      <c r="E25" s="22"/>
      <c r="F25" s="22"/>
      <c r="G25" s="22"/>
      <c r="H25" s="22"/>
      <c r="I25" s="22"/>
      <c r="J25" s="22"/>
      <c r="K25" s="22"/>
      <c r="L25" s="22"/>
      <c r="M25" s="22"/>
      <c r="N25" s="22"/>
      <c r="O25" s="22"/>
      <c r="P25" s="22"/>
      <c r="Q25" s="22"/>
      <c r="R25" s="22"/>
      <c r="S25" s="22"/>
      <c r="T25" s="22"/>
      <c r="U25" s="22"/>
      <c r="V25" s="22"/>
    </row>
    <row r="26" spans="2:24" s="4" customFormat="1" ht="66.75" customHeight="1" x14ac:dyDescent="0.25">
      <c r="B26" s="93" t="s">
        <v>53</v>
      </c>
      <c r="C26" s="28" t="s">
        <v>528</v>
      </c>
      <c r="D26" s="31" t="s">
        <v>179</v>
      </c>
      <c r="E26" s="31" t="s">
        <v>500</v>
      </c>
      <c r="F26" s="31" t="s">
        <v>454</v>
      </c>
      <c r="G26" s="31" t="s">
        <v>501</v>
      </c>
      <c r="H26" s="31" t="s">
        <v>502</v>
      </c>
      <c r="I26" s="31" t="s">
        <v>457</v>
      </c>
      <c r="J26" s="31" t="s">
        <v>458</v>
      </c>
      <c r="K26" s="31" t="s">
        <v>47</v>
      </c>
      <c r="L26" s="42">
        <v>280999.21000000002</v>
      </c>
      <c r="M26" s="42">
        <v>21074.95</v>
      </c>
      <c r="N26" s="42">
        <v>21074.94</v>
      </c>
      <c r="O26" s="42">
        <v>0</v>
      </c>
      <c r="P26" s="42">
        <v>0</v>
      </c>
      <c r="Q26" s="42">
        <v>238849.32</v>
      </c>
      <c r="R26" s="31">
        <v>0</v>
      </c>
      <c r="S26" s="32" t="s">
        <v>509</v>
      </c>
      <c r="T26" s="32" t="s">
        <v>510</v>
      </c>
      <c r="U26" s="32" t="s">
        <v>511</v>
      </c>
      <c r="V26" s="119">
        <v>2018</v>
      </c>
    </row>
    <row r="27" spans="2:24" s="4" customFormat="1" ht="183.75" customHeight="1" x14ac:dyDescent="0.25">
      <c r="B27" s="93" t="s">
        <v>54</v>
      </c>
      <c r="C27" s="28" t="s">
        <v>530</v>
      </c>
      <c r="D27" s="31" t="s">
        <v>180</v>
      </c>
      <c r="E27" s="31" t="s">
        <v>503</v>
      </c>
      <c r="F27" s="31" t="s">
        <v>454</v>
      </c>
      <c r="G27" s="31" t="s">
        <v>504</v>
      </c>
      <c r="H27" s="31" t="s">
        <v>505</v>
      </c>
      <c r="I27" s="31" t="s">
        <v>506</v>
      </c>
      <c r="J27" s="31" t="s">
        <v>458</v>
      </c>
      <c r="K27" s="31" t="s">
        <v>47</v>
      </c>
      <c r="L27" s="42">
        <v>2967711.21</v>
      </c>
      <c r="M27" s="42">
        <v>428255.02</v>
      </c>
      <c r="N27" s="42">
        <v>205900.88</v>
      </c>
      <c r="O27" s="42">
        <v>0</v>
      </c>
      <c r="P27" s="42">
        <v>0</v>
      </c>
      <c r="Q27" s="42">
        <v>2333555.31</v>
      </c>
      <c r="R27" s="42">
        <v>0</v>
      </c>
      <c r="S27" s="106">
        <v>2015</v>
      </c>
      <c r="T27" s="106">
        <v>2016.08</v>
      </c>
      <c r="U27" s="106" t="s">
        <v>493</v>
      </c>
      <c r="V27" s="88">
        <v>2018</v>
      </c>
    </row>
    <row r="28" spans="2:24" s="4" customFormat="1" ht="67.5" customHeight="1" x14ac:dyDescent="0.25">
      <c r="B28" s="93" t="s">
        <v>181</v>
      </c>
      <c r="C28" s="28" t="s">
        <v>529</v>
      </c>
      <c r="D28" s="31" t="s">
        <v>182</v>
      </c>
      <c r="E28" s="31" t="s">
        <v>507</v>
      </c>
      <c r="F28" s="31" t="s">
        <v>454</v>
      </c>
      <c r="G28" s="31" t="s">
        <v>508</v>
      </c>
      <c r="H28" s="31" t="s">
        <v>505</v>
      </c>
      <c r="I28" s="31" t="s">
        <v>506</v>
      </c>
      <c r="J28" s="31" t="s">
        <v>458</v>
      </c>
      <c r="K28" s="31" t="s">
        <v>47</v>
      </c>
      <c r="L28" s="42">
        <v>1095549.6499999999</v>
      </c>
      <c r="M28" s="42">
        <v>150025.67000000001</v>
      </c>
      <c r="N28" s="86">
        <v>76664</v>
      </c>
      <c r="O28" s="42">
        <v>0</v>
      </c>
      <c r="P28" s="42">
        <v>0</v>
      </c>
      <c r="Q28" s="42">
        <v>868859.98</v>
      </c>
      <c r="R28" s="42">
        <v>0</v>
      </c>
      <c r="S28" s="106" t="s">
        <v>512</v>
      </c>
      <c r="T28" s="106" t="s">
        <v>513</v>
      </c>
      <c r="U28" s="106" t="s">
        <v>514</v>
      </c>
      <c r="V28" s="88">
        <v>2018</v>
      </c>
    </row>
    <row r="29" spans="2:24" s="4" customFormat="1" ht="110.25" customHeight="1" x14ac:dyDescent="0.25">
      <c r="B29" s="21" t="s">
        <v>19</v>
      </c>
      <c r="C29" s="21"/>
      <c r="D29" s="21" t="s">
        <v>183</v>
      </c>
      <c r="E29" s="21"/>
      <c r="F29" s="8"/>
      <c r="G29" s="21"/>
      <c r="H29" s="21"/>
      <c r="I29" s="21"/>
      <c r="J29" s="8"/>
      <c r="K29" s="21"/>
      <c r="L29" s="21"/>
      <c r="M29" s="21"/>
      <c r="N29" s="21"/>
      <c r="O29" s="21"/>
      <c r="P29" s="21"/>
      <c r="Q29" s="21"/>
      <c r="R29" s="8"/>
      <c r="S29" s="21"/>
      <c r="T29" s="21"/>
      <c r="U29" s="21"/>
      <c r="V29" s="8"/>
    </row>
    <row r="30" spans="2:24" s="4" customFormat="1" ht="51.75" customHeight="1" x14ac:dyDescent="0.25">
      <c r="B30" s="22" t="s">
        <v>534</v>
      </c>
      <c r="C30" s="22"/>
      <c r="D30" s="22" t="s">
        <v>184</v>
      </c>
      <c r="E30" s="22"/>
      <c r="F30" s="22"/>
      <c r="G30" s="22"/>
      <c r="H30" s="22"/>
      <c r="I30" s="22"/>
      <c r="J30" s="22"/>
      <c r="K30" s="22"/>
      <c r="L30" s="22"/>
      <c r="M30" s="90"/>
      <c r="N30" s="90"/>
      <c r="O30" s="22"/>
      <c r="P30" s="22"/>
      <c r="Q30" s="90"/>
      <c r="R30" s="22"/>
      <c r="S30" s="90"/>
      <c r="T30" s="90"/>
      <c r="U30" s="90"/>
      <c r="V30" s="22"/>
    </row>
    <row r="31" spans="2:24" ht="206.25" customHeight="1" x14ac:dyDescent="0.25">
      <c r="B31" s="31" t="s">
        <v>185</v>
      </c>
      <c r="C31" s="31" t="s">
        <v>549</v>
      </c>
      <c r="D31" s="86" t="s">
        <v>1081</v>
      </c>
      <c r="E31" s="86" t="s">
        <v>500</v>
      </c>
      <c r="F31" s="86" t="s">
        <v>454</v>
      </c>
      <c r="G31" s="86" t="s">
        <v>531</v>
      </c>
      <c r="H31" s="86" t="s">
        <v>532</v>
      </c>
      <c r="I31" s="86" t="s">
        <v>457</v>
      </c>
      <c r="J31" s="86"/>
      <c r="K31" s="86" t="s">
        <v>47</v>
      </c>
      <c r="L31" s="86">
        <v>895999.62</v>
      </c>
      <c r="M31" s="86">
        <v>44799.98</v>
      </c>
      <c r="N31" s="86">
        <v>89599.96</v>
      </c>
      <c r="O31" s="86">
        <v>0</v>
      </c>
      <c r="P31" s="86">
        <v>0</v>
      </c>
      <c r="Q31" s="86">
        <v>761599.68</v>
      </c>
      <c r="R31" s="42">
        <v>0</v>
      </c>
      <c r="S31" s="106" t="s">
        <v>533</v>
      </c>
      <c r="T31" s="106" t="s">
        <v>495</v>
      </c>
      <c r="U31" s="88" t="s">
        <v>511</v>
      </c>
      <c r="V31" s="106">
        <v>2018</v>
      </c>
    </row>
    <row r="32" spans="2:24" s="4" customFormat="1" ht="171" customHeight="1" x14ac:dyDescent="0.25">
      <c r="B32" s="21" t="s">
        <v>186</v>
      </c>
      <c r="C32" s="21"/>
      <c r="D32" s="21" t="s">
        <v>187</v>
      </c>
      <c r="E32" s="21"/>
      <c r="F32" s="21"/>
      <c r="G32" s="21"/>
      <c r="H32" s="21"/>
      <c r="I32" s="21"/>
      <c r="J32" s="21"/>
      <c r="K32" s="21"/>
      <c r="L32" s="21"/>
      <c r="M32" s="21"/>
      <c r="N32" s="21"/>
      <c r="O32" s="21"/>
      <c r="P32" s="21"/>
      <c r="Q32" s="21"/>
      <c r="R32" s="21"/>
      <c r="S32" s="21"/>
      <c r="T32" s="21"/>
      <c r="U32" s="21"/>
      <c r="V32" s="21"/>
    </row>
    <row r="33" spans="2:24" s="4" customFormat="1" ht="87.75" customHeight="1" x14ac:dyDescent="0.25">
      <c r="B33" s="22" t="s">
        <v>188</v>
      </c>
      <c r="C33" s="22"/>
      <c r="D33" s="22" t="s">
        <v>189</v>
      </c>
      <c r="E33" s="22"/>
      <c r="F33" s="22"/>
      <c r="G33" s="22"/>
      <c r="H33" s="22"/>
      <c r="I33" s="22"/>
      <c r="J33" s="22"/>
      <c r="K33" s="22"/>
      <c r="L33" s="22"/>
      <c r="M33" s="22"/>
      <c r="N33" s="22"/>
      <c r="O33" s="22"/>
      <c r="P33" s="22"/>
      <c r="Q33" s="22"/>
      <c r="R33" s="22"/>
      <c r="S33" s="22"/>
      <c r="T33" s="22"/>
      <c r="U33" s="22"/>
      <c r="V33" s="22"/>
    </row>
    <row r="34" spans="2:24" s="4" customFormat="1" ht="96" customHeight="1" x14ac:dyDescent="0.25">
      <c r="B34" s="22" t="s">
        <v>190</v>
      </c>
      <c r="C34" s="22"/>
      <c r="D34" s="22" t="s">
        <v>191</v>
      </c>
      <c r="E34" s="22"/>
      <c r="F34" s="22"/>
      <c r="G34" s="22"/>
      <c r="H34" s="22"/>
      <c r="I34" s="22"/>
      <c r="J34" s="22"/>
      <c r="K34" s="22"/>
      <c r="L34" s="22"/>
      <c r="M34" s="22"/>
      <c r="N34" s="22"/>
      <c r="O34" s="22"/>
      <c r="P34" s="22"/>
      <c r="Q34" s="22"/>
      <c r="R34" s="22"/>
      <c r="S34" s="22"/>
      <c r="T34" s="22"/>
      <c r="U34" s="22"/>
      <c r="V34" s="22"/>
    </row>
    <row r="35" spans="2:24" s="4" customFormat="1" ht="75" customHeight="1" x14ac:dyDescent="0.25">
      <c r="B35" s="7" t="s">
        <v>21</v>
      </c>
      <c r="C35" s="25"/>
      <c r="D35" s="30" t="s">
        <v>192</v>
      </c>
      <c r="E35" s="25"/>
      <c r="F35" s="7"/>
      <c r="G35" s="7"/>
      <c r="H35" s="25"/>
      <c r="I35" s="7"/>
      <c r="J35" s="25"/>
      <c r="K35" s="30"/>
      <c r="L35" s="25"/>
      <c r="M35" s="7"/>
      <c r="N35" s="7"/>
      <c r="O35" s="25"/>
      <c r="P35" s="7"/>
      <c r="Q35" s="25"/>
      <c r="R35" s="30"/>
      <c r="S35" s="25"/>
      <c r="T35" s="7"/>
      <c r="U35" s="7"/>
      <c r="V35" s="25"/>
    </row>
    <row r="36" spans="2:24" s="4" customFormat="1" ht="78" customHeight="1" x14ac:dyDescent="0.25">
      <c r="B36" s="21" t="s">
        <v>22</v>
      </c>
      <c r="C36" s="21"/>
      <c r="D36" s="21" t="s">
        <v>193</v>
      </c>
      <c r="E36" s="21"/>
      <c r="F36" s="21"/>
      <c r="G36" s="21"/>
      <c r="H36" s="21"/>
      <c r="I36" s="21"/>
      <c r="J36" s="21"/>
      <c r="K36" s="21"/>
      <c r="L36" s="21"/>
      <c r="M36" s="21"/>
      <c r="N36" s="21"/>
      <c r="O36" s="21"/>
      <c r="P36" s="21"/>
      <c r="Q36" s="21"/>
      <c r="R36" s="21"/>
      <c r="S36" s="21"/>
      <c r="T36" s="21"/>
      <c r="U36" s="21"/>
      <c r="V36" s="21"/>
    </row>
    <row r="37" spans="2:24" ht="27.75" customHeight="1" x14ac:dyDescent="0.25">
      <c r="B37" s="22" t="s">
        <v>194</v>
      </c>
      <c r="C37" s="22"/>
      <c r="D37" s="22" t="s">
        <v>535</v>
      </c>
      <c r="E37" s="22"/>
      <c r="F37" s="22"/>
      <c r="G37" s="22"/>
      <c r="H37" s="22"/>
      <c r="I37" s="22"/>
      <c r="J37" s="22"/>
      <c r="K37" s="22"/>
      <c r="L37" s="22"/>
      <c r="M37" s="22"/>
      <c r="N37" s="22"/>
      <c r="O37" s="22"/>
      <c r="P37" s="22"/>
      <c r="Q37" s="22"/>
      <c r="R37" s="22"/>
      <c r="S37" s="22"/>
      <c r="T37" s="22"/>
      <c r="U37" s="22"/>
      <c r="V37" s="22"/>
    </row>
    <row r="38" spans="2:24" s="84" customFormat="1" ht="75.75" customHeight="1" x14ac:dyDescent="0.25">
      <c r="B38" s="51" t="s">
        <v>196</v>
      </c>
      <c r="C38" s="59" t="s">
        <v>548</v>
      </c>
      <c r="D38" s="51" t="s">
        <v>197</v>
      </c>
      <c r="E38" s="51" t="s">
        <v>500</v>
      </c>
      <c r="F38" s="51" t="s">
        <v>536</v>
      </c>
      <c r="G38" s="51" t="s">
        <v>501</v>
      </c>
      <c r="H38" s="51" t="s">
        <v>537</v>
      </c>
      <c r="I38" s="51" t="s">
        <v>457</v>
      </c>
      <c r="J38" s="51" t="s">
        <v>458</v>
      </c>
      <c r="K38" s="51" t="s">
        <v>47</v>
      </c>
      <c r="L38" s="51">
        <v>343231.9</v>
      </c>
      <c r="M38" s="51">
        <v>25742.400000000001</v>
      </c>
      <c r="N38" s="63">
        <v>0</v>
      </c>
      <c r="O38" s="51">
        <v>0</v>
      </c>
      <c r="P38" s="51">
        <v>25742.39</v>
      </c>
      <c r="Q38" s="51">
        <v>291747.11</v>
      </c>
      <c r="R38" s="51">
        <v>0</v>
      </c>
      <c r="S38" s="52" t="s">
        <v>640</v>
      </c>
      <c r="T38" s="52" t="s">
        <v>485</v>
      </c>
      <c r="U38" s="52" t="s">
        <v>481</v>
      </c>
      <c r="V38" s="52">
        <v>2019</v>
      </c>
    </row>
    <row r="39" spans="2:24" s="4" customFormat="1" ht="75.75" customHeight="1" x14ac:dyDescent="0.25">
      <c r="B39" s="51" t="s">
        <v>198</v>
      </c>
      <c r="C39" s="59" t="s">
        <v>550</v>
      </c>
      <c r="D39" s="51" t="s">
        <v>199</v>
      </c>
      <c r="E39" s="51" t="s">
        <v>538</v>
      </c>
      <c r="F39" s="51" t="s">
        <v>536</v>
      </c>
      <c r="G39" s="51" t="s">
        <v>539</v>
      </c>
      <c r="H39" s="51" t="s">
        <v>537</v>
      </c>
      <c r="I39" s="51" t="s">
        <v>457</v>
      </c>
      <c r="J39" s="51" t="s">
        <v>458</v>
      </c>
      <c r="K39" s="51" t="s">
        <v>47</v>
      </c>
      <c r="L39" s="51">
        <v>200108.91</v>
      </c>
      <c r="M39" s="51">
        <v>57600.75</v>
      </c>
      <c r="N39" s="51">
        <v>0</v>
      </c>
      <c r="O39" s="51">
        <v>0</v>
      </c>
      <c r="P39" s="51">
        <v>15008.16</v>
      </c>
      <c r="Q39" s="51">
        <v>127500</v>
      </c>
      <c r="R39" s="51">
        <v>0</v>
      </c>
      <c r="S39" s="52" t="s">
        <v>544</v>
      </c>
      <c r="T39" s="52" t="s">
        <v>1042</v>
      </c>
      <c r="U39" s="52" t="s">
        <v>1016</v>
      </c>
      <c r="V39" s="52">
        <v>2020</v>
      </c>
    </row>
    <row r="40" spans="2:24" s="4" customFormat="1" ht="132" customHeight="1" x14ac:dyDescent="0.25">
      <c r="B40" s="51" t="s">
        <v>200</v>
      </c>
      <c r="C40" s="51" t="s">
        <v>1078</v>
      </c>
      <c r="D40" s="51" t="s">
        <v>201</v>
      </c>
      <c r="E40" s="51" t="s">
        <v>453</v>
      </c>
      <c r="F40" s="51" t="s">
        <v>536</v>
      </c>
      <c r="G40" s="51" t="s">
        <v>460</v>
      </c>
      <c r="H40" s="51" t="s">
        <v>537</v>
      </c>
      <c r="I40" s="51" t="s">
        <v>457</v>
      </c>
      <c r="J40" s="51" t="s">
        <v>458</v>
      </c>
      <c r="K40" s="51" t="s">
        <v>47</v>
      </c>
      <c r="L40" s="51">
        <v>615073.18999999994</v>
      </c>
      <c r="M40" s="51">
        <v>92260.98</v>
      </c>
      <c r="N40" s="51">
        <v>0</v>
      </c>
      <c r="O40" s="51">
        <v>0</v>
      </c>
      <c r="P40" s="51">
        <v>0</v>
      </c>
      <c r="Q40" s="51">
        <v>522812.21</v>
      </c>
      <c r="R40" s="51">
        <v>0</v>
      </c>
      <c r="S40" s="52" t="s">
        <v>483</v>
      </c>
      <c r="T40" s="52" t="s">
        <v>496</v>
      </c>
      <c r="U40" s="52" t="s">
        <v>546</v>
      </c>
      <c r="V40" s="52">
        <v>2019</v>
      </c>
    </row>
    <row r="41" spans="2:24" s="4" customFormat="1" ht="92.25" customHeight="1" x14ac:dyDescent="0.25">
      <c r="B41" s="51" t="s">
        <v>202</v>
      </c>
      <c r="C41" s="59" t="s">
        <v>1077</v>
      </c>
      <c r="D41" s="51" t="s">
        <v>203</v>
      </c>
      <c r="E41" s="51" t="s">
        <v>538</v>
      </c>
      <c r="F41" s="51" t="s">
        <v>536</v>
      </c>
      <c r="G41" s="51" t="s">
        <v>539</v>
      </c>
      <c r="H41" s="51" t="s">
        <v>537</v>
      </c>
      <c r="I41" s="51" t="s">
        <v>457</v>
      </c>
      <c r="J41" s="51" t="s">
        <v>458</v>
      </c>
      <c r="K41" s="51" t="s">
        <v>47</v>
      </c>
      <c r="L41" s="51">
        <v>629529.59</v>
      </c>
      <c r="M41" s="51">
        <v>47214.720000000001</v>
      </c>
      <c r="N41" s="51">
        <v>47214.720000000001</v>
      </c>
      <c r="O41" s="51">
        <v>0</v>
      </c>
      <c r="P41" s="51">
        <v>0</v>
      </c>
      <c r="Q41" s="51">
        <v>535100.15</v>
      </c>
      <c r="R41" s="51">
        <v>0</v>
      </c>
      <c r="S41" s="52" t="s">
        <v>545</v>
      </c>
      <c r="T41" s="52" t="s">
        <v>546</v>
      </c>
      <c r="U41" s="52" t="s">
        <v>497</v>
      </c>
      <c r="V41" s="52">
        <v>2019</v>
      </c>
    </row>
    <row r="42" spans="2:24" s="4" customFormat="1" ht="71.25" customHeight="1" x14ac:dyDescent="0.25">
      <c r="B42" s="51" t="s">
        <v>204</v>
      </c>
      <c r="C42" s="51" t="s">
        <v>1079</v>
      </c>
      <c r="D42" s="51" t="s">
        <v>205</v>
      </c>
      <c r="E42" s="51" t="s">
        <v>468</v>
      </c>
      <c r="F42" s="51" t="s">
        <v>536</v>
      </c>
      <c r="G42" s="51" t="s">
        <v>469</v>
      </c>
      <c r="H42" s="51" t="s">
        <v>537</v>
      </c>
      <c r="I42" s="51" t="s">
        <v>457</v>
      </c>
      <c r="J42" s="51" t="s">
        <v>458</v>
      </c>
      <c r="K42" s="51" t="s">
        <v>47</v>
      </c>
      <c r="L42" s="51">
        <v>428573.83</v>
      </c>
      <c r="M42" s="51">
        <v>34684.57</v>
      </c>
      <c r="N42" s="51">
        <v>32143.03</v>
      </c>
      <c r="O42" s="51">
        <v>0</v>
      </c>
      <c r="P42" s="51">
        <v>0</v>
      </c>
      <c r="Q42" s="51">
        <v>361746.23</v>
      </c>
      <c r="R42" s="51">
        <v>0</v>
      </c>
      <c r="S42" s="52" t="s">
        <v>533</v>
      </c>
      <c r="T42" s="52" t="s">
        <v>492</v>
      </c>
      <c r="U42" s="52" t="s">
        <v>487</v>
      </c>
      <c r="V42" s="52">
        <v>2019</v>
      </c>
      <c r="W42" s="84"/>
      <c r="X42" s="84"/>
    </row>
    <row r="43" spans="2:24" s="4" customFormat="1" ht="99" customHeight="1" x14ac:dyDescent="0.25">
      <c r="B43" s="51" t="s">
        <v>206</v>
      </c>
      <c r="C43" s="59" t="s">
        <v>1080</v>
      </c>
      <c r="D43" s="51" t="s">
        <v>540</v>
      </c>
      <c r="E43" s="51" t="s">
        <v>507</v>
      </c>
      <c r="F43" s="51" t="s">
        <v>536</v>
      </c>
      <c r="G43" s="51" t="s">
        <v>541</v>
      </c>
      <c r="H43" s="51" t="s">
        <v>537</v>
      </c>
      <c r="I43" s="51" t="s">
        <v>457</v>
      </c>
      <c r="J43" s="51" t="s">
        <v>458</v>
      </c>
      <c r="K43" s="51" t="s">
        <v>47</v>
      </c>
      <c r="L43" s="51">
        <v>381140.11</v>
      </c>
      <c r="M43" s="52" t="s">
        <v>542</v>
      </c>
      <c r="N43" s="51">
        <v>0</v>
      </c>
      <c r="O43" s="51">
        <v>0</v>
      </c>
      <c r="P43" s="52" t="s">
        <v>542</v>
      </c>
      <c r="Q43" s="51">
        <v>323969.08999999997</v>
      </c>
      <c r="R43" s="51">
        <v>0</v>
      </c>
      <c r="S43" s="52" t="s">
        <v>483</v>
      </c>
      <c r="T43" s="52" t="s">
        <v>485</v>
      </c>
      <c r="U43" s="52" t="s">
        <v>967</v>
      </c>
      <c r="V43" s="52">
        <v>2020</v>
      </c>
    </row>
    <row r="44" spans="2:24" s="4" customFormat="1" ht="68.25" customHeight="1" x14ac:dyDescent="0.25">
      <c r="B44" s="51" t="s">
        <v>208</v>
      </c>
      <c r="C44" s="59" t="s">
        <v>551</v>
      </c>
      <c r="D44" s="51" t="s">
        <v>209</v>
      </c>
      <c r="E44" s="51" t="s">
        <v>503</v>
      </c>
      <c r="F44" s="51" t="s">
        <v>536</v>
      </c>
      <c r="G44" s="51" t="s">
        <v>543</v>
      </c>
      <c r="H44" s="51" t="s">
        <v>537</v>
      </c>
      <c r="I44" s="51" t="s">
        <v>457</v>
      </c>
      <c r="J44" s="51" t="s">
        <v>458</v>
      </c>
      <c r="K44" s="51" t="s">
        <v>47</v>
      </c>
      <c r="L44" s="51">
        <v>855376.31</v>
      </c>
      <c r="M44" s="51">
        <v>133223.16</v>
      </c>
      <c r="N44" s="51">
        <v>64153.22</v>
      </c>
      <c r="O44" s="51">
        <v>0</v>
      </c>
      <c r="P44" s="51">
        <v>0</v>
      </c>
      <c r="Q44" s="51">
        <v>657999.93000000005</v>
      </c>
      <c r="R44" s="51">
        <v>0</v>
      </c>
      <c r="S44" s="52" t="s">
        <v>547</v>
      </c>
      <c r="T44" s="52" t="s">
        <v>475</v>
      </c>
      <c r="U44" s="52" t="s">
        <v>641</v>
      </c>
      <c r="V44" s="52">
        <v>2020</v>
      </c>
    </row>
    <row r="45" spans="2:24" ht="89.25" x14ac:dyDescent="0.25">
      <c r="B45" s="51" t="s">
        <v>210</v>
      </c>
      <c r="C45" s="59" t="s">
        <v>552</v>
      </c>
      <c r="D45" s="86" t="s">
        <v>211</v>
      </c>
      <c r="E45" s="42" t="s">
        <v>538</v>
      </c>
      <c r="F45" s="42" t="s">
        <v>536</v>
      </c>
      <c r="G45" s="42" t="s">
        <v>539</v>
      </c>
      <c r="H45" s="42" t="s">
        <v>537</v>
      </c>
      <c r="I45" s="42" t="s">
        <v>457</v>
      </c>
      <c r="J45" s="42" t="s">
        <v>458</v>
      </c>
      <c r="K45" s="42" t="s">
        <v>47</v>
      </c>
      <c r="L45" s="62">
        <v>102422.63</v>
      </c>
      <c r="M45" s="51">
        <v>7681.7</v>
      </c>
      <c r="N45" s="51">
        <v>0</v>
      </c>
      <c r="O45" s="51">
        <v>0</v>
      </c>
      <c r="P45" s="51">
        <v>7681.69</v>
      </c>
      <c r="Q45" s="51">
        <v>87059.24</v>
      </c>
      <c r="R45" s="51">
        <v>0</v>
      </c>
      <c r="S45" s="52" t="s">
        <v>544</v>
      </c>
      <c r="T45" s="52" t="s">
        <v>1042</v>
      </c>
      <c r="U45" s="52" t="s">
        <v>1016</v>
      </c>
      <c r="V45" s="52">
        <v>2020</v>
      </c>
    </row>
    <row r="46" spans="2:24" s="4" customFormat="1" ht="114.75" x14ac:dyDescent="0.25">
      <c r="B46" s="51" t="s">
        <v>1028</v>
      </c>
      <c r="C46" s="59" t="s">
        <v>1076</v>
      </c>
      <c r="D46" s="59" t="s">
        <v>1035</v>
      </c>
      <c r="E46" s="51" t="s">
        <v>453</v>
      </c>
      <c r="F46" s="51" t="s">
        <v>536</v>
      </c>
      <c r="G46" s="51" t="s">
        <v>460</v>
      </c>
      <c r="H46" s="51" t="s">
        <v>537</v>
      </c>
      <c r="I46" s="51" t="s">
        <v>457</v>
      </c>
      <c r="J46" s="51" t="s">
        <v>458</v>
      </c>
      <c r="K46" s="51" t="s">
        <v>47</v>
      </c>
      <c r="L46" s="51">
        <v>916743.93</v>
      </c>
      <c r="M46" s="51">
        <v>591231.43999999994</v>
      </c>
      <c r="N46" s="51">
        <v>0</v>
      </c>
      <c r="O46" s="51">
        <v>0</v>
      </c>
      <c r="P46" s="51">
        <v>0</v>
      </c>
      <c r="Q46" s="51">
        <v>325512.49</v>
      </c>
      <c r="R46" s="51">
        <v>0</v>
      </c>
      <c r="S46" s="52" t="s">
        <v>484</v>
      </c>
      <c r="T46" s="52" t="s">
        <v>1016</v>
      </c>
      <c r="U46" s="52" t="s">
        <v>1037</v>
      </c>
      <c r="V46" s="52">
        <v>2022</v>
      </c>
    </row>
    <row r="47" spans="2:24" s="4" customFormat="1" ht="67.5" customHeight="1" x14ac:dyDescent="0.25">
      <c r="B47" s="51" t="s">
        <v>1029</v>
      </c>
      <c r="C47" s="51" t="s">
        <v>1036</v>
      </c>
      <c r="D47" s="42" t="s">
        <v>1033</v>
      </c>
      <c r="E47" s="42" t="s">
        <v>500</v>
      </c>
      <c r="F47" s="42" t="s">
        <v>536</v>
      </c>
      <c r="G47" s="42" t="s">
        <v>501</v>
      </c>
      <c r="H47" s="42" t="s">
        <v>537</v>
      </c>
      <c r="I47" s="42" t="s">
        <v>457</v>
      </c>
      <c r="J47" s="42" t="s">
        <v>458</v>
      </c>
      <c r="K47" s="42" t="s">
        <v>47</v>
      </c>
      <c r="L47" s="51">
        <v>179266</v>
      </c>
      <c r="M47" s="51">
        <v>13444.95</v>
      </c>
      <c r="N47" s="51">
        <v>0</v>
      </c>
      <c r="O47" s="51">
        <v>0</v>
      </c>
      <c r="P47" s="51">
        <v>13444.95</v>
      </c>
      <c r="Q47" s="51">
        <v>152376.1</v>
      </c>
      <c r="R47" s="51" t="s">
        <v>292</v>
      </c>
      <c r="S47" s="52" t="s">
        <v>640</v>
      </c>
      <c r="T47" s="52" t="s">
        <v>642</v>
      </c>
      <c r="U47" s="52" t="s">
        <v>1041</v>
      </c>
      <c r="V47" s="52">
        <v>2020</v>
      </c>
    </row>
    <row r="48" spans="2:24" s="4" customFormat="1" ht="55.5" customHeight="1" x14ac:dyDescent="0.25">
      <c r="B48" s="51" t="s">
        <v>1030</v>
      </c>
      <c r="C48" s="51" t="s">
        <v>1074</v>
      </c>
      <c r="D48" s="42" t="s">
        <v>1034</v>
      </c>
      <c r="E48" s="42" t="s">
        <v>500</v>
      </c>
      <c r="F48" s="42" t="s">
        <v>536</v>
      </c>
      <c r="G48" s="42" t="s">
        <v>501</v>
      </c>
      <c r="H48" s="42" t="s">
        <v>537</v>
      </c>
      <c r="I48" s="42" t="s">
        <v>457</v>
      </c>
      <c r="J48" s="42" t="s">
        <v>47</v>
      </c>
      <c r="K48" s="42" t="s">
        <v>47</v>
      </c>
      <c r="L48" s="51">
        <v>229502.15</v>
      </c>
      <c r="M48" s="51">
        <v>17212.66</v>
      </c>
      <c r="N48" s="51">
        <v>0</v>
      </c>
      <c r="O48" s="51">
        <v>0</v>
      </c>
      <c r="P48" s="51">
        <v>17212.66</v>
      </c>
      <c r="Q48" s="51">
        <v>195076.83</v>
      </c>
      <c r="R48" s="51">
        <v>0</v>
      </c>
      <c r="S48" s="52" t="s">
        <v>640</v>
      </c>
      <c r="T48" s="52" t="s">
        <v>639</v>
      </c>
      <c r="U48" s="52" t="s">
        <v>482</v>
      </c>
      <c r="V48" s="52">
        <v>2020</v>
      </c>
    </row>
    <row r="49" spans="2:22" s="4" customFormat="1" ht="76.5" x14ac:dyDescent="0.25">
      <c r="B49" s="51" t="s">
        <v>1031</v>
      </c>
      <c r="C49" s="51" t="s">
        <v>1075</v>
      </c>
      <c r="D49" s="42" t="s">
        <v>1038</v>
      </c>
      <c r="E49" s="42" t="s">
        <v>468</v>
      </c>
      <c r="F49" s="42" t="s">
        <v>536</v>
      </c>
      <c r="G49" s="42" t="s">
        <v>469</v>
      </c>
      <c r="H49" s="42" t="s">
        <v>537</v>
      </c>
      <c r="I49" s="42" t="s">
        <v>457</v>
      </c>
      <c r="J49" s="42" t="s">
        <v>47</v>
      </c>
      <c r="K49" s="42" t="s">
        <v>47</v>
      </c>
      <c r="L49" s="62">
        <v>162366</v>
      </c>
      <c r="M49" s="51">
        <v>25740.45</v>
      </c>
      <c r="N49" s="51">
        <v>0</v>
      </c>
      <c r="O49" s="51">
        <v>0</v>
      </c>
      <c r="P49" s="62">
        <v>25740</v>
      </c>
      <c r="Q49" s="51">
        <v>110885.55</v>
      </c>
      <c r="R49" s="51">
        <v>0</v>
      </c>
      <c r="S49" s="52" t="s">
        <v>640</v>
      </c>
      <c r="T49" s="52" t="s">
        <v>1039</v>
      </c>
      <c r="U49" s="52" t="s">
        <v>1040</v>
      </c>
      <c r="V49" s="52">
        <v>2021</v>
      </c>
    </row>
    <row r="50" spans="2:22" s="4" customFormat="1" ht="76.5" x14ac:dyDescent="0.25">
      <c r="B50" s="51" t="s">
        <v>1032</v>
      </c>
      <c r="C50" s="51" t="s">
        <v>1072</v>
      </c>
      <c r="D50" s="51" t="s">
        <v>1073</v>
      </c>
      <c r="E50" s="51" t="s">
        <v>538</v>
      </c>
      <c r="F50" s="51" t="s">
        <v>536</v>
      </c>
      <c r="G50" s="51" t="s">
        <v>539</v>
      </c>
      <c r="H50" s="51" t="s">
        <v>537</v>
      </c>
      <c r="I50" s="51" t="s">
        <v>457</v>
      </c>
      <c r="J50" s="51" t="s">
        <v>47</v>
      </c>
      <c r="K50" s="51" t="s">
        <v>47</v>
      </c>
      <c r="L50" s="62">
        <v>174510.58</v>
      </c>
      <c r="M50" s="51">
        <v>13088.29</v>
      </c>
      <c r="N50" s="51">
        <v>0</v>
      </c>
      <c r="O50" s="51">
        <v>0</v>
      </c>
      <c r="P50" s="51">
        <v>13088.29</v>
      </c>
      <c r="Q50" s="62">
        <v>148334</v>
      </c>
      <c r="R50" s="51">
        <v>0</v>
      </c>
      <c r="S50" s="52" t="s">
        <v>484</v>
      </c>
      <c r="T50" s="52" t="s">
        <v>1015</v>
      </c>
      <c r="U50" s="52" t="s">
        <v>1040</v>
      </c>
      <c r="V50" s="52">
        <v>2020</v>
      </c>
    </row>
    <row r="51" spans="2:22" s="4" customFormat="1" ht="102" x14ac:dyDescent="0.25">
      <c r="B51" s="29" t="s">
        <v>212</v>
      </c>
      <c r="C51" s="29"/>
      <c r="D51" s="29" t="s">
        <v>213</v>
      </c>
      <c r="E51" s="29"/>
      <c r="F51" s="29"/>
      <c r="G51" s="29"/>
      <c r="H51" s="29"/>
      <c r="I51" s="29"/>
      <c r="J51" s="29"/>
      <c r="K51" s="29"/>
      <c r="L51" s="29"/>
      <c r="M51" s="29"/>
      <c r="N51" s="29"/>
      <c r="O51" s="29"/>
      <c r="P51" s="29"/>
      <c r="Q51" s="29"/>
      <c r="R51" s="29"/>
      <c r="S51" s="29"/>
      <c r="T51" s="29"/>
      <c r="U51" s="29"/>
      <c r="V51" s="29"/>
    </row>
    <row r="52" spans="2:22" s="4" customFormat="1" ht="63.75" x14ac:dyDescent="0.25">
      <c r="B52" s="60" t="s">
        <v>214</v>
      </c>
      <c r="C52" s="60"/>
      <c r="D52" s="60" t="s">
        <v>215</v>
      </c>
      <c r="E52" s="60"/>
      <c r="F52" s="60"/>
      <c r="G52" s="60"/>
      <c r="H52" s="60"/>
      <c r="I52" s="60"/>
      <c r="J52" s="60"/>
      <c r="K52" s="60"/>
      <c r="L52" s="60"/>
      <c r="M52" s="60"/>
      <c r="N52" s="60"/>
      <c r="O52" s="60"/>
      <c r="P52" s="60"/>
      <c r="Q52" s="60"/>
      <c r="R52" s="60"/>
      <c r="S52" s="60"/>
      <c r="T52" s="60"/>
      <c r="U52" s="60"/>
      <c r="V52" s="60"/>
    </row>
    <row r="53" spans="2:22" s="4" customFormat="1" ht="129.75" customHeight="1" x14ac:dyDescent="0.25">
      <c r="B53" s="51" t="s">
        <v>216</v>
      </c>
      <c r="C53" s="51" t="s">
        <v>560</v>
      </c>
      <c r="D53" s="42" t="s">
        <v>1043</v>
      </c>
      <c r="E53" s="42" t="s">
        <v>500</v>
      </c>
      <c r="F53" s="42" t="s">
        <v>536</v>
      </c>
      <c r="G53" s="42" t="s">
        <v>531</v>
      </c>
      <c r="H53" s="42" t="s">
        <v>556</v>
      </c>
      <c r="I53" s="51" t="s">
        <v>457</v>
      </c>
      <c r="J53" s="51" t="s">
        <v>458</v>
      </c>
      <c r="K53" s="51" t="s">
        <v>47</v>
      </c>
      <c r="L53" s="51">
        <v>102941.18</v>
      </c>
      <c r="M53" s="51">
        <v>15441.18</v>
      </c>
      <c r="N53" s="51">
        <v>0</v>
      </c>
      <c r="O53" s="51">
        <v>0</v>
      </c>
      <c r="P53" s="51">
        <v>0</v>
      </c>
      <c r="Q53" s="51">
        <v>87500</v>
      </c>
      <c r="R53" s="51">
        <v>0</v>
      </c>
      <c r="S53" s="52" t="s">
        <v>641</v>
      </c>
      <c r="T53" s="52" t="s">
        <v>967</v>
      </c>
      <c r="U53" s="52" t="s">
        <v>1041</v>
      </c>
      <c r="V53" s="52">
        <v>2020</v>
      </c>
    </row>
    <row r="54" spans="2:22" s="4" customFormat="1" ht="140.25" x14ac:dyDescent="0.25">
      <c r="B54" s="51" t="s">
        <v>217</v>
      </c>
      <c r="C54" s="51" t="s">
        <v>561</v>
      </c>
      <c r="D54" s="42" t="s">
        <v>218</v>
      </c>
      <c r="E54" s="42" t="s">
        <v>468</v>
      </c>
      <c r="F54" s="42" t="s">
        <v>536</v>
      </c>
      <c r="G54" s="42" t="s">
        <v>469</v>
      </c>
      <c r="H54" s="42" t="s">
        <v>556</v>
      </c>
      <c r="I54" s="51" t="s">
        <v>457</v>
      </c>
      <c r="J54" s="51" t="s">
        <v>458</v>
      </c>
      <c r="K54" s="51" t="s">
        <v>47</v>
      </c>
      <c r="L54" s="51">
        <v>226399.73</v>
      </c>
      <c r="M54" s="51">
        <v>33959.96</v>
      </c>
      <c r="N54" s="51">
        <v>27317.77</v>
      </c>
      <c r="O54" s="51">
        <v>0</v>
      </c>
      <c r="P54" s="51">
        <v>0</v>
      </c>
      <c r="Q54" s="51">
        <v>165122</v>
      </c>
      <c r="R54" s="51">
        <v>0</v>
      </c>
      <c r="S54" s="52" t="s">
        <v>559</v>
      </c>
      <c r="T54" s="52" t="s">
        <v>489</v>
      </c>
      <c r="U54" s="52" t="s">
        <v>641</v>
      </c>
      <c r="V54" s="52">
        <v>2020</v>
      </c>
    </row>
    <row r="55" spans="2:22" s="84" customFormat="1" ht="102" customHeight="1" x14ac:dyDescent="0.25">
      <c r="B55" s="51" t="s">
        <v>219</v>
      </c>
      <c r="C55" s="51" t="s">
        <v>562</v>
      </c>
      <c r="D55" s="86" t="s">
        <v>553</v>
      </c>
      <c r="E55" s="86" t="s">
        <v>507</v>
      </c>
      <c r="F55" s="86" t="s">
        <v>536</v>
      </c>
      <c r="G55" s="86" t="s">
        <v>508</v>
      </c>
      <c r="H55" s="86" t="s">
        <v>556</v>
      </c>
      <c r="I55" s="51" t="s">
        <v>457</v>
      </c>
      <c r="J55" s="51" t="s">
        <v>458</v>
      </c>
      <c r="K55" s="51" t="s">
        <v>47</v>
      </c>
      <c r="L55" s="51">
        <v>206061.75</v>
      </c>
      <c r="M55" s="51">
        <v>134416.75</v>
      </c>
      <c r="N55" s="51">
        <v>0</v>
      </c>
      <c r="O55" s="51">
        <v>0</v>
      </c>
      <c r="P55" s="51">
        <v>0</v>
      </c>
      <c r="Q55" s="51">
        <v>71645</v>
      </c>
      <c r="R55" s="51">
        <v>0</v>
      </c>
      <c r="S55" s="52" t="s">
        <v>488</v>
      </c>
      <c r="T55" s="52" t="s">
        <v>484</v>
      </c>
      <c r="U55" s="52" t="s">
        <v>485</v>
      </c>
      <c r="V55" s="52">
        <v>2020</v>
      </c>
    </row>
    <row r="56" spans="2:22" s="4" customFormat="1" ht="89.25" customHeight="1" x14ac:dyDescent="0.25">
      <c r="B56" s="51" t="s">
        <v>555</v>
      </c>
      <c r="C56" s="51" t="s">
        <v>563</v>
      </c>
      <c r="D56" s="42" t="s">
        <v>554</v>
      </c>
      <c r="E56" s="42" t="s">
        <v>471</v>
      </c>
      <c r="F56" s="42" t="s">
        <v>557</v>
      </c>
      <c r="G56" s="42" t="s">
        <v>472</v>
      </c>
      <c r="H56" s="42" t="s">
        <v>556</v>
      </c>
      <c r="I56" s="51" t="s">
        <v>465</v>
      </c>
      <c r="J56" s="51" t="s">
        <v>466</v>
      </c>
      <c r="K56" s="51" t="s">
        <v>467</v>
      </c>
      <c r="L56" s="51">
        <v>124320.76</v>
      </c>
      <c r="M56" s="51">
        <v>53035.76</v>
      </c>
      <c r="N56" s="51">
        <v>0</v>
      </c>
      <c r="O56" s="51">
        <v>0</v>
      </c>
      <c r="P56" s="51">
        <v>0</v>
      </c>
      <c r="Q56" s="51">
        <v>71285</v>
      </c>
      <c r="R56" s="51">
        <v>0</v>
      </c>
      <c r="S56" s="52" t="s">
        <v>480</v>
      </c>
      <c r="T56" s="52" t="s">
        <v>544</v>
      </c>
      <c r="U56" s="52" t="s">
        <v>485</v>
      </c>
      <c r="V56" s="52">
        <v>2019</v>
      </c>
    </row>
    <row r="57" spans="2:22" s="4" customFormat="1" ht="51" x14ac:dyDescent="0.25">
      <c r="B57" s="60" t="s">
        <v>223</v>
      </c>
      <c r="C57" s="60"/>
      <c r="D57" s="60" t="s">
        <v>224</v>
      </c>
      <c r="E57" s="60"/>
      <c r="F57" s="60"/>
      <c r="G57" s="60"/>
      <c r="H57" s="60"/>
      <c r="I57" s="60"/>
      <c r="J57" s="60"/>
      <c r="K57" s="60"/>
      <c r="L57" s="60"/>
      <c r="M57" s="60"/>
      <c r="N57" s="60"/>
      <c r="O57" s="60"/>
      <c r="P57" s="60"/>
      <c r="Q57" s="60"/>
      <c r="R57" s="60"/>
      <c r="S57" s="60"/>
      <c r="T57" s="60"/>
      <c r="U57" s="60"/>
      <c r="V57" s="60"/>
    </row>
    <row r="58" spans="2:22" s="4" customFormat="1" ht="15.75" customHeight="1" x14ac:dyDescent="0.25">
      <c r="B58" s="51"/>
      <c r="C58" s="51"/>
      <c r="D58" s="42"/>
      <c r="E58" s="42"/>
      <c r="F58" s="42"/>
      <c r="G58" s="42"/>
      <c r="H58" s="42"/>
      <c r="I58" s="51"/>
      <c r="J58" s="51"/>
      <c r="K58" s="51"/>
      <c r="L58" s="51"/>
      <c r="M58" s="51"/>
      <c r="N58" s="51"/>
      <c r="O58" s="51"/>
      <c r="P58" s="51"/>
      <c r="Q58" s="51"/>
      <c r="R58" s="51"/>
      <c r="S58" s="52"/>
      <c r="T58" s="52"/>
      <c r="U58" s="52"/>
      <c r="V58" s="52"/>
    </row>
    <row r="59" spans="2:22" s="84" customFormat="1" ht="53.25" customHeight="1" x14ac:dyDescent="0.25">
      <c r="B59" s="51" t="s">
        <v>225</v>
      </c>
      <c r="C59" s="51" t="s">
        <v>1018</v>
      </c>
      <c r="D59" s="86" t="s">
        <v>226</v>
      </c>
      <c r="E59" s="86" t="s">
        <v>503</v>
      </c>
      <c r="F59" s="86" t="s">
        <v>536</v>
      </c>
      <c r="G59" s="86" t="s">
        <v>543</v>
      </c>
      <c r="H59" s="86" t="s">
        <v>565</v>
      </c>
      <c r="I59" s="51" t="s">
        <v>506</v>
      </c>
      <c r="J59" s="51" t="s">
        <v>458</v>
      </c>
      <c r="K59" s="51" t="s">
        <v>47</v>
      </c>
      <c r="L59" s="51">
        <v>20000</v>
      </c>
      <c r="M59" s="51">
        <v>3000</v>
      </c>
      <c r="N59" s="51">
        <v>0</v>
      </c>
      <c r="O59" s="51">
        <v>0</v>
      </c>
      <c r="P59" s="51">
        <v>0</v>
      </c>
      <c r="Q59" s="51">
        <v>17000</v>
      </c>
      <c r="R59" s="51">
        <v>0</v>
      </c>
      <c r="S59" s="52" t="s">
        <v>566</v>
      </c>
      <c r="T59" s="52" t="s">
        <v>513</v>
      </c>
      <c r="U59" s="52" t="s">
        <v>493</v>
      </c>
      <c r="V59" s="52">
        <v>2017</v>
      </c>
    </row>
    <row r="60" spans="2:22" s="84" customFormat="1" ht="51.75" customHeight="1" x14ac:dyDescent="0.25">
      <c r="B60" s="51" t="s">
        <v>227</v>
      </c>
      <c r="C60" s="51" t="s">
        <v>574</v>
      </c>
      <c r="D60" s="86" t="s">
        <v>567</v>
      </c>
      <c r="E60" s="86" t="s">
        <v>503</v>
      </c>
      <c r="F60" s="86" t="s">
        <v>536</v>
      </c>
      <c r="G60" s="86" t="s">
        <v>504</v>
      </c>
      <c r="H60" s="86" t="s">
        <v>564</v>
      </c>
      <c r="I60" s="51" t="s">
        <v>457</v>
      </c>
      <c r="J60" s="51" t="s">
        <v>458</v>
      </c>
      <c r="K60" s="51" t="s">
        <v>47</v>
      </c>
      <c r="L60" s="51">
        <v>859809</v>
      </c>
      <c r="M60" s="51">
        <v>128971</v>
      </c>
      <c r="N60" s="51">
        <v>0</v>
      </c>
      <c r="O60" s="51">
        <v>0</v>
      </c>
      <c r="P60" s="51">
        <v>0</v>
      </c>
      <c r="Q60" s="51">
        <v>730838</v>
      </c>
      <c r="R60" s="51">
        <v>0</v>
      </c>
      <c r="S60" s="52" t="s">
        <v>484</v>
      </c>
      <c r="T60" s="52" t="s">
        <v>967</v>
      </c>
      <c r="U60" s="52" t="s">
        <v>482</v>
      </c>
      <c r="V60" s="52">
        <v>2020</v>
      </c>
    </row>
    <row r="61" spans="2:22" s="84" customFormat="1" ht="63" customHeight="1" x14ac:dyDescent="0.25">
      <c r="B61" s="51" t="s">
        <v>229</v>
      </c>
      <c r="C61" s="86" t="s">
        <v>575</v>
      </c>
      <c r="D61" s="86" t="s">
        <v>230</v>
      </c>
      <c r="E61" s="86" t="s">
        <v>507</v>
      </c>
      <c r="F61" s="86" t="s">
        <v>536</v>
      </c>
      <c r="G61" s="86" t="s">
        <v>541</v>
      </c>
      <c r="H61" s="86" t="s">
        <v>570</v>
      </c>
      <c r="I61" s="86" t="s">
        <v>506</v>
      </c>
      <c r="J61" s="86" t="s">
        <v>47</v>
      </c>
      <c r="K61" s="86" t="s">
        <v>47</v>
      </c>
      <c r="L61" s="86">
        <v>15700</v>
      </c>
      <c r="M61" s="88" t="s">
        <v>571</v>
      </c>
      <c r="N61" s="86">
        <v>0</v>
      </c>
      <c r="O61" s="86">
        <v>0</v>
      </c>
      <c r="P61" s="86">
        <v>0</v>
      </c>
      <c r="Q61" s="86">
        <v>13345</v>
      </c>
      <c r="R61" s="86">
        <v>0</v>
      </c>
      <c r="S61" s="88" t="s">
        <v>572</v>
      </c>
      <c r="T61" s="88" t="s">
        <v>483</v>
      </c>
      <c r="U61" s="88" t="s">
        <v>479</v>
      </c>
      <c r="V61" s="86">
        <v>2017</v>
      </c>
    </row>
    <row r="62" spans="2:22" s="84" customFormat="1" ht="65.25" customHeight="1" x14ac:dyDescent="0.25">
      <c r="B62" s="51" t="s">
        <v>1014</v>
      </c>
      <c r="C62" s="51" t="s">
        <v>1017</v>
      </c>
      <c r="D62" s="86" t="s">
        <v>1019</v>
      </c>
      <c r="E62" s="86" t="s">
        <v>507</v>
      </c>
      <c r="F62" s="86" t="s">
        <v>536</v>
      </c>
      <c r="G62" s="86" t="s">
        <v>541</v>
      </c>
      <c r="H62" s="86" t="s">
        <v>564</v>
      </c>
      <c r="I62" s="51" t="s">
        <v>457</v>
      </c>
      <c r="J62" s="51" t="s">
        <v>47</v>
      </c>
      <c r="K62" s="51" t="s">
        <v>47</v>
      </c>
      <c r="L62" s="51">
        <v>564705.89</v>
      </c>
      <c r="M62" s="51">
        <v>84705.89</v>
      </c>
      <c r="N62" s="51">
        <v>0</v>
      </c>
      <c r="O62" s="51">
        <v>0</v>
      </c>
      <c r="P62" s="51">
        <v>0</v>
      </c>
      <c r="Q62" s="51">
        <v>480000</v>
      </c>
      <c r="R62" s="51">
        <v>0</v>
      </c>
      <c r="S62" s="81" t="s">
        <v>484</v>
      </c>
      <c r="T62" s="52" t="s">
        <v>1015</v>
      </c>
      <c r="U62" s="52" t="s">
        <v>1016</v>
      </c>
      <c r="V62" s="52">
        <v>2020</v>
      </c>
    </row>
    <row r="63" spans="2:22" s="4" customFormat="1" ht="64.5" customHeight="1" x14ac:dyDescent="0.25">
      <c r="B63" s="60" t="s">
        <v>231</v>
      </c>
      <c r="C63" s="60"/>
      <c r="D63" s="60" t="s">
        <v>232</v>
      </c>
      <c r="E63" s="60"/>
      <c r="F63" s="60"/>
      <c r="G63" s="60"/>
      <c r="H63" s="60"/>
      <c r="I63" s="60"/>
      <c r="J63" s="60"/>
      <c r="K63" s="60"/>
      <c r="L63" s="60"/>
      <c r="M63" s="60"/>
      <c r="N63" s="60"/>
      <c r="O63" s="60"/>
      <c r="P63" s="60"/>
      <c r="Q63" s="60"/>
      <c r="R63" s="60"/>
      <c r="S63" s="60"/>
      <c r="T63" s="60"/>
      <c r="U63" s="60"/>
      <c r="V63" s="60"/>
    </row>
    <row r="64" spans="2:22" s="4" customFormat="1" ht="18.75" customHeight="1" x14ac:dyDescent="0.25">
      <c r="B64" s="51"/>
      <c r="C64" s="51"/>
      <c r="D64" s="42"/>
      <c r="E64" s="42"/>
      <c r="F64" s="42"/>
      <c r="G64" s="42"/>
      <c r="H64" s="42"/>
      <c r="I64" s="51"/>
      <c r="J64" s="51"/>
      <c r="K64" s="51"/>
      <c r="L64" s="51"/>
      <c r="M64" s="51"/>
      <c r="N64" s="51"/>
      <c r="O64" s="51"/>
      <c r="P64" s="51"/>
      <c r="Q64" s="51"/>
      <c r="R64" s="51"/>
      <c r="S64" s="52"/>
      <c r="T64" s="52"/>
      <c r="U64" s="52"/>
      <c r="V64" s="52"/>
    </row>
    <row r="65" spans="1:22" s="4" customFormat="1" ht="99" customHeight="1" x14ac:dyDescent="0.25">
      <c r="A65" s="49"/>
      <c r="B65" s="51" t="s">
        <v>233</v>
      </c>
      <c r="C65" s="51" t="s">
        <v>578</v>
      </c>
      <c r="D65" s="42" t="s">
        <v>577</v>
      </c>
      <c r="E65" s="42" t="s">
        <v>507</v>
      </c>
      <c r="F65" s="42" t="s">
        <v>536</v>
      </c>
      <c r="G65" s="42" t="s">
        <v>541</v>
      </c>
      <c r="H65" s="42" t="s">
        <v>576</v>
      </c>
      <c r="I65" s="51" t="s">
        <v>457</v>
      </c>
      <c r="J65" s="51" t="s">
        <v>47</v>
      </c>
      <c r="K65" s="51" t="s">
        <v>47</v>
      </c>
      <c r="L65" s="51">
        <v>1191647</v>
      </c>
      <c r="M65" s="51">
        <v>178747</v>
      </c>
      <c r="N65" s="51">
        <v>0</v>
      </c>
      <c r="O65" s="51">
        <v>0</v>
      </c>
      <c r="P65" s="51">
        <v>0</v>
      </c>
      <c r="Q65" s="51">
        <v>1012900</v>
      </c>
      <c r="R65" s="51">
        <v>0</v>
      </c>
      <c r="S65" s="81" t="s">
        <v>967</v>
      </c>
      <c r="T65" s="52" t="s">
        <v>1015</v>
      </c>
      <c r="U65" s="52" t="s">
        <v>1016</v>
      </c>
      <c r="V65" s="52">
        <v>2021</v>
      </c>
    </row>
    <row r="66" spans="1:22" s="4" customFormat="1" ht="43.5" customHeight="1" x14ac:dyDescent="0.25">
      <c r="A66" s="49"/>
      <c r="B66" s="79" t="s">
        <v>945</v>
      </c>
      <c r="C66" s="79"/>
      <c r="D66" s="79" t="s">
        <v>946</v>
      </c>
      <c r="E66" s="79"/>
      <c r="F66" s="79"/>
      <c r="G66" s="79"/>
      <c r="H66" s="79"/>
      <c r="I66" s="79"/>
      <c r="J66" s="79"/>
      <c r="K66" s="79"/>
      <c r="L66" s="79"/>
      <c r="M66" s="79"/>
      <c r="N66" s="79"/>
      <c r="O66" s="79"/>
      <c r="P66" s="79"/>
      <c r="Q66" s="79"/>
      <c r="R66" s="79"/>
      <c r="S66" s="79"/>
      <c r="T66" s="79"/>
      <c r="U66" s="79"/>
      <c r="V66" s="79"/>
    </row>
    <row r="67" spans="1:22" s="4" customFormat="1" ht="76.5" customHeight="1" x14ac:dyDescent="0.25">
      <c r="A67" s="49"/>
      <c r="B67" s="75" t="s">
        <v>235</v>
      </c>
      <c r="C67" s="76"/>
      <c r="D67" s="77" t="s">
        <v>236</v>
      </c>
      <c r="E67" s="76"/>
      <c r="F67" s="75"/>
      <c r="G67" s="76"/>
      <c r="H67" s="77"/>
      <c r="I67" s="76"/>
      <c r="J67" s="75"/>
      <c r="K67" s="76"/>
      <c r="L67" s="77"/>
      <c r="M67" s="76"/>
      <c r="N67" s="75"/>
      <c r="O67" s="76"/>
      <c r="P67" s="77"/>
      <c r="Q67" s="76"/>
      <c r="R67" s="75"/>
      <c r="S67" s="76"/>
      <c r="T67" s="77"/>
      <c r="U67" s="76"/>
      <c r="V67" s="75"/>
    </row>
    <row r="68" spans="1:22" s="4" customFormat="1" ht="63.75" x14ac:dyDescent="0.25">
      <c r="A68" s="49"/>
      <c r="B68" s="29" t="s">
        <v>237</v>
      </c>
      <c r="C68" s="29"/>
      <c r="D68" s="29" t="s">
        <v>238</v>
      </c>
      <c r="E68" s="29"/>
      <c r="F68" s="29"/>
      <c r="G68" s="29"/>
      <c r="H68" s="29"/>
      <c r="I68" s="29"/>
      <c r="J68" s="29"/>
      <c r="K68" s="29"/>
      <c r="L68" s="29"/>
      <c r="M68" s="29"/>
      <c r="N68" s="29"/>
      <c r="O68" s="29"/>
      <c r="P68" s="29"/>
      <c r="Q68" s="29"/>
      <c r="R68" s="29"/>
      <c r="S68" s="29"/>
      <c r="T68" s="29"/>
      <c r="U68" s="29"/>
      <c r="V68" s="29"/>
    </row>
    <row r="69" spans="1:22" s="4" customFormat="1" ht="63.75" x14ac:dyDescent="0.25">
      <c r="A69" s="49"/>
      <c r="B69" s="60" t="s">
        <v>239</v>
      </c>
      <c r="C69" s="60"/>
      <c r="D69" s="60" t="s">
        <v>240</v>
      </c>
      <c r="E69" s="60"/>
      <c r="F69" s="60"/>
      <c r="G69" s="60"/>
      <c r="H69" s="60"/>
      <c r="I69" s="60"/>
      <c r="J69" s="60"/>
      <c r="K69" s="60"/>
      <c r="L69" s="60"/>
      <c r="M69" s="60"/>
      <c r="N69" s="60"/>
      <c r="O69" s="60"/>
      <c r="P69" s="60"/>
      <c r="Q69" s="60"/>
      <c r="R69" s="60"/>
      <c r="S69" s="60"/>
      <c r="T69" s="60"/>
      <c r="U69" s="60"/>
      <c r="V69" s="60"/>
    </row>
    <row r="70" spans="1:22" s="4" customFormat="1" ht="102" x14ac:dyDescent="0.25">
      <c r="A70" s="49"/>
      <c r="B70" s="51" t="s">
        <v>241</v>
      </c>
      <c r="C70" s="51" t="s">
        <v>590</v>
      </c>
      <c r="D70" s="42" t="s">
        <v>242</v>
      </c>
      <c r="E70" s="42" t="s">
        <v>453</v>
      </c>
      <c r="F70" s="42" t="s">
        <v>579</v>
      </c>
      <c r="G70" s="42" t="s">
        <v>455</v>
      </c>
      <c r="H70" s="42" t="s">
        <v>580</v>
      </c>
      <c r="I70" s="51" t="s">
        <v>457</v>
      </c>
      <c r="J70" s="51" t="s">
        <v>458</v>
      </c>
      <c r="K70" s="51" t="s">
        <v>47</v>
      </c>
      <c r="L70" s="51">
        <v>493252.18</v>
      </c>
      <c r="M70" s="51">
        <v>73987.83</v>
      </c>
      <c r="N70" s="51">
        <v>0</v>
      </c>
      <c r="O70" s="51">
        <v>0</v>
      </c>
      <c r="P70" s="51">
        <v>0</v>
      </c>
      <c r="Q70" s="51">
        <v>419264.35</v>
      </c>
      <c r="R70" s="51">
        <v>0</v>
      </c>
      <c r="S70" s="52" t="s">
        <v>495</v>
      </c>
      <c r="T70" s="52" t="s">
        <v>479</v>
      </c>
      <c r="U70" s="52" t="s">
        <v>629</v>
      </c>
      <c r="V70" s="52">
        <v>2019</v>
      </c>
    </row>
    <row r="71" spans="1:22" s="4" customFormat="1" ht="114" customHeight="1" x14ac:dyDescent="0.25">
      <c r="A71" s="49"/>
      <c r="B71" s="51" t="s">
        <v>243</v>
      </c>
      <c r="C71" s="51" t="s">
        <v>591</v>
      </c>
      <c r="D71" s="42" t="s">
        <v>244</v>
      </c>
      <c r="E71" s="42" t="s">
        <v>581</v>
      </c>
      <c r="F71" s="42" t="s">
        <v>582</v>
      </c>
      <c r="G71" s="42" t="s">
        <v>583</v>
      </c>
      <c r="H71" s="42" t="s">
        <v>584</v>
      </c>
      <c r="I71" s="51" t="s">
        <v>465</v>
      </c>
      <c r="J71" s="51" t="s">
        <v>466</v>
      </c>
      <c r="K71" s="51" t="s">
        <v>467</v>
      </c>
      <c r="L71" s="51">
        <v>282956.7</v>
      </c>
      <c r="M71" s="51">
        <v>42443.51</v>
      </c>
      <c r="N71" s="51">
        <v>0</v>
      </c>
      <c r="O71" s="51">
        <v>0</v>
      </c>
      <c r="P71" s="51">
        <v>0</v>
      </c>
      <c r="Q71" s="51">
        <v>240513.19</v>
      </c>
      <c r="R71" s="51">
        <v>0</v>
      </c>
      <c r="S71" s="52" t="s">
        <v>588</v>
      </c>
      <c r="T71" s="52" t="s">
        <v>511</v>
      </c>
      <c r="U71" s="52" t="s">
        <v>589</v>
      </c>
      <c r="V71" s="52">
        <v>2019</v>
      </c>
    </row>
    <row r="72" spans="1:22" s="4" customFormat="1" ht="204" x14ac:dyDescent="0.25">
      <c r="A72" s="49"/>
      <c r="B72" s="51" t="s">
        <v>245</v>
      </c>
      <c r="C72" s="51" t="s">
        <v>592</v>
      </c>
      <c r="D72" s="42" t="s">
        <v>585</v>
      </c>
      <c r="E72" s="42" t="s">
        <v>468</v>
      </c>
      <c r="F72" s="42" t="s">
        <v>579</v>
      </c>
      <c r="G72" s="42" t="s">
        <v>586</v>
      </c>
      <c r="H72" s="42" t="s">
        <v>580</v>
      </c>
      <c r="I72" s="51" t="s">
        <v>457</v>
      </c>
      <c r="J72" s="51" t="s">
        <v>47</v>
      </c>
      <c r="K72" s="51" t="s">
        <v>47</v>
      </c>
      <c r="L72" s="51">
        <v>270483.15000000002</v>
      </c>
      <c r="M72" s="51">
        <v>49425.15</v>
      </c>
      <c r="N72" s="51">
        <v>0</v>
      </c>
      <c r="O72" s="51">
        <v>0</v>
      </c>
      <c r="P72" s="51">
        <v>0</v>
      </c>
      <c r="Q72" s="51">
        <v>221058</v>
      </c>
      <c r="R72" s="51">
        <v>0</v>
      </c>
      <c r="S72" s="52" t="s">
        <v>495</v>
      </c>
      <c r="T72" s="52" t="s">
        <v>480</v>
      </c>
      <c r="U72" s="52" t="s">
        <v>478</v>
      </c>
      <c r="V72" s="52">
        <v>2019</v>
      </c>
    </row>
    <row r="73" spans="1:22" s="4" customFormat="1" ht="66.75" customHeight="1" x14ac:dyDescent="0.25">
      <c r="A73" s="49"/>
      <c r="B73" s="51" t="s">
        <v>247</v>
      </c>
      <c r="C73" s="51" t="s">
        <v>593</v>
      </c>
      <c r="D73" s="42" t="s">
        <v>248</v>
      </c>
      <c r="E73" s="42" t="s">
        <v>538</v>
      </c>
      <c r="F73" s="42" t="s">
        <v>579</v>
      </c>
      <c r="G73" s="42" t="s">
        <v>539</v>
      </c>
      <c r="H73" s="42" t="s">
        <v>587</v>
      </c>
      <c r="I73" s="51" t="s">
        <v>457</v>
      </c>
      <c r="J73" s="51" t="s">
        <v>47</v>
      </c>
      <c r="K73" s="51" t="s">
        <v>47</v>
      </c>
      <c r="L73" s="51">
        <v>417260.75</v>
      </c>
      <c r="M73" s="51">
        <v>111711.41</v>
      </c>
      <c r="N73" s="51">
        <v>0</v>
      </c>
      <c r="O73" s="51">
        <v>0</v>
      </c>
      <c r="P73" s="51">
        <v>0</v>
      </c>
      <c r="Q73" s="51">
        <v>305549.34000000003</v>
      </c>
      <c r="R73" s="51">
        <v>0</v>
      </c>
      <c r="S73" s="52" t="s">
        <v>490</v>
      </c>
      <c r="T73" s="52" t="s">
        <v>480</v>
      </c>
      <c r="U73" s="52" t="s">
        <v>478</v>
      </c>
      <c r="V73" s="52">
        <v>2020</v>
      </c>
    </row>
    <row r="74" spans="1:22" s="4" customFormat="1" ht="67.5" customHeight="1" x14ac:dyDescent="0.25">
      <c r="A74" s="49"/>
      <c r="B74" s="29" t="s">
        <v>249</v>
      </c>
      <c r="C74" s="29"/>
      <c r="D74" s="29" t="s">
        <v>250</v>
      </c>
      <c r="E74" s="29"/>
      <c r="F74" s="29"/>
      <c r="G74" s="29"/>
      <c r="H74" s="29"/>
      <c r="I74" s="29"/>
      <c r="J74" s="29"/>
      <c r="K74" s="29"/>
      <c r="L74" s="29"/>
      <c r="M74" s="29"/>
      <c r="N74" s="29"/>
      <c r="O74" s="29"/>
      <c r="P74" s="29"/>
      <c r="Q74" s="29"/>
      <c r="R74" s="29"/>
      <c r="S74" s="29"/>
      <c r="T74" s="29"/>
      <c r="U74" s="29"/>
      <c r="V74" s="29"/>
    </row>
    <row r="75" spans="1:22" s="4" customFormat="1" ht="102" customHeight="1" x14ac:dyDescent="0.25">
      <c r="A75" s="49"/>
      <c r="B75" s="60" t="s">
        <v>251</v>
      </c>
      <c r="C75" s="60"/>
      <c r="D75" s="60" t="s">
        <v>252</v>
      </c>
      <c r="E75" s="60"/>
      <c r="F75" s="60"/>
      <c r="G75" s="60"/>
      <c r="H75" s="60"/>
      <c r="I75" s="60"/>
      <c r="J75" s="60"/>
      <c r="K75" s="60"/>
      <c r="L75" s="60"/>
      <c r="M75" s="60"/>
      <c r="N75" s="60"/>
      <c r="O75" s="60"/>
      <c r="P75" s="60"/>
      <c r="Q75" s="60"/>
      <c r="R75" s="60"/>
      <c r="S75" s="60"/>
      <c r="T75" s="60"/>
      <c r="U75" s="60"/>
      <c r="V75" s="60"/>
    </row>
    <row r="76" spans="1:22" s="4" customFormat="1" ht="324.75" customHeight="1" x14ac:dyDescent="0.25">
      <c r="A76" s="49"/>
      <c r="B76" s="51" t="s">
        <v>253</v>
      </c>
      <c r="C76" s="51" t="s">
        <v>599</v>
      </c>
      <c r="D76" s="86" t="s">
        <v>254</v>
      </c>
      <c r="E76" s="86" t="s">
        <v>594</v>
      </c>
      <c r="F76" s="86" t="s">
        <v>595</v>
      </c>
      <c r="G76" s="86" t="s">
        <v>596</v>
      </c>
      <c r="H76" s="86" t="s">
        <v>886</v>
      </c>
      <c r="I76" s="51" t="s">
        <v>465</v>
      </c>
      <c r="J76" s="51" t="s">
        <v>467</v>
      </c>
      <c r="K76" s="51" t="s">
        <v>467</v>
      </c>
      <c r="L76" s="51">
        <v>298749.28000000003</v>
      </c>
      <c r="M76" s="62">
        <v>44812.4</v>
      </c>
      <c r="N76" s="63">
        <v>0</v>
      </c>
      <c r="O76" s="51">
        <v>0</v>
      </c>
      <c r="P76" s="51">
        <v>0</v>
      </c>
      <c r="Q76" s="52">
        <v>253936.88</v>
      </c>
      <c r="R76" s="51">
        <v>0</v>
      </c>
      <c r="S76" s="52" t="s">
        <v>598</v>
      </c>
      <c r="T76" s="52" t="s">
        <v>495</v>
      </c>
      <c r="U76" s="52" t="s">
        <v>493</v>
      </c>
      <c r="V76" s="52">
        <v>2018</v>
      </c>
    </row>
    <row r="77" spans="1:22" s="4" customFormat="1" ht="71.25" customHeight="1" x14ac:dyDescent="0.25">
      <c r="A77" s="49"/>
      <c r="B77" s="51" t="s">
        <v>1007</v>
      </c>
      <c r="C77" s="51" t="s">
        <v>1008</v>
      </c>
      <c r="D77" s="86" t="s">
        <v>1009</v>
      </c>
      <c r="E77" s="86" t="s">
        <v>500</v>
      </c>
      <c r="F77" s="86" t="s">
        <v>595</v>
      </c>
      <c r="G77" s="86" t="s">
        <v>1010</v>
      </c>
      <c r="H77" s="86" t="s">
        <v>886</v>
      </c>
      <c r="I77" s="51" t="s">
        <v>465</v>
      </c>
      <c r="J77" s="51" t="s">
        <v>467</v>
      </c>
      <c r="K77" s="51" t="s">
        <v>467</v>
      </c>
      <c r="L77" s="51">
        <v>341536.27</v>
      </c>
      <c r="M77" s="51">
        <v>51230.44</v>
      </c>
      <c r="N77" s="51">
        <v>0</v>
      </c>
      <c r="O77" s="51">
        <v>0</v>
      </c>
      <c r="P77" s="51">
        <v>0</v>
      </c>
      <c r="Q77" s="51">
        <v>290305.83</v>
      </c>
      <c r="R77" s="51">
        <v>0</v>
      </c>
      <c r="S77" s="81" t="s">
        <v>544</v>
      </c>
      <c r="T77" s="52" t="s">
        <v>640</v>
      </c>
      <c r="U77" s="52" t="s">
        <v>481</v>
      </c>
      <c r="V77" s="52">
        <v>2021</v>
      </c>
    </row>
    <row r="78" spans="1:22" s="4" customFormat="1" ht="45" customHeight="1" x14ac:dyDescent="0.25">
      <c r="A78" s="49"/>
      <c r="B78" s="75" t="s">
        <v>612</v>
      </c>
      <c r="C78" s="76"/>
      <c r="D78" s="77" t="s">
        <v>600</v>
      </c>
      <c r="E78" s="76"/>
      <c r="F78" s="75"/>
      <c r="G78" s="76"/>
      <c r="H78" s="77"/>
      <c r="I78" s="76"/>
      <c r="J78" s="75"/>
      <c r="K78" s="76"/>
      <c r="L78" s="77"/>
      <c r="M78" s="76"/>
      <c r="N78" s="75"/>
      <c r="O78" s="76"/>
      <c r="P78" s="77"/>
      <c r="Q78" s="76"/>
      <c r="R78" s="75"/>
      <c r="S78" s="76"/>
      <c r="T78" s="77"/>
      <c r="U78" s="76"/>
      <c r="V78" s="75"/>
    </row>
    <row r="79" spans="1:22" s="4" customFormat="1" ht="95.25" customHeight="1" x14ac:dyDescent="0.25">
      <c r="A79" s="49"/>
      <c r="B79" s="29" t="s">
        <v>257</v>
      </c>
      <c r="C79" s="29"/>
      <c r="D79" s="29" t="s">
        <v>258</v>
      </c>
      <c r="E79" s="29"/>
      <c r="F79" s="29"/>
      <c r="G79" s="29"/>
      <c r="H79" s="29" t="s">
        <v>292</v>
      </c>
      <c r="I79" s="29"/>
      <c r="J79" s="29"/>
      <c r="K79" s="29"/>
      <c r="L79" s="29"/>
      <c r="M79" s="29"/>
      <c r="N79" s="29"/>
      <c r="O79" s="29"/>
      <c r="P79" s="29"/>
      <c r="Q79" s="29"/>
      <c r="R79" s="29"/>
      <c r="S79" s="29"/>
      <c r="T79" s="29"/>
      <c r="U79" s="29"/>
      <c r="V79" s="29"/>
    </row>
    <row r="80" spans="1:22" s="4" customFormat="1" ht="117" customHeight="1" x14ac:dyDescent="0.25">
      <c r="A80" s="49"/>
      <c r="B80" s="60" t="s">
        <v>259</v>
      </c>
      <c r="C80" s="60"/>
      <c r="D80" s="60" t="s">
        <v>260</v>
      </c>
      <c r="E80" s="60"/>
      <c r="F80" s="60"/>
      <c r="G80" s="60"/>
      <c r="H80" s="60"/>
      <c r="I80" s="60"/>
      <c r="J80" s="60"/>
      <c r="K80" s="60"/>
      <c r="L80" s="60"/>
      <c r="M80" s="60"/>
      <c r="N80" s="60"/>
      <c r="O80" s="60"/>
      <c r="P80" s="60"/>
      <c r="Q80" s="60"/>
      <c r="R80" s="60"/>
      <c r="S80" s="60"/>
      <c r="T80" s="60"/>
      <c r="U80" s="60"/>
      <c r="V80" s="60"/>
    </row>
    <row r="81" spans="1:22" s="4" customFormat="1" ht="68.25" customHeight="1" x14ac:dyDescent="0.25">
      <c r="A81" s="49"/>
      <c r="B81" s="51" t="s">
        <v>261</v>
      </c>
      <c r="C81" s="51" t="s">
        <v>614</v>
      </c>
      <c r="D81" s="42" t="s">
        <v>601</v>
      </c>
      <c r="E81" s="42" t="s">
        <v>602</v>
      </c>
      <c r="F81" s="42" t="s">
        <v>603</v>
      </c>
      <c r="G81" s="42" t="s">
        <v>531</v>
      </c>
      <c r="H81" s="42" t="s">
        <v>604</v>
      </c>
      <c r="I81" s="51" t="s">
        <v>457</v>
      </c>
      <c r="J81" s="51"/>
      <c r="K81" s="51" t="s">
        <v>47</v>
      </c>
      <c r="L81" s="51">
        <v>1392800</v>
      </c>
      <c r="M81" s="51">
        <v>603791.22</v>
      </c>
      <c r="N81" s="51">
        <v>0</v>
      </c>
      <c r="O81" s="51">
        <v>0</v>
      </c>
      <c r="P81" s="51">
        <v>0</v>
      </c>
      <c r="Q81" s="51">
        <v>789008.78</v>
      </c>
      <c r="R81" s="51">
        <v>0</v>
      </c>
      <c r="S81" s="52" t="s">
        <v>573</v>
      </c>
      <c r="T81" s="52" t="s">
        <v>483</v>
      </c>
      <c r="U81" s="52" t="s">
        <v>490</v>
      </c>
      <c r="V81" s="52">
        <v>2019</v>
      </c>
    </row>
    <row r="82" spans="1:22" s="4" customFormat="1" ht="93" customHeight="1" x14ac:dyDescent="0.25">
      <c r="A82" s="49"/>
      <c r="B82" s="51" t="s">
        <v>263</v>
      </c>
      <c r="C82" s="51" t="s">
        <v>952</v>
      </c>
      <c r="D82" s="86" t="s">
        <v>605</v>
      </c>
      <c r="E82" s="86" t="s">
        <v>606</v>
      </c>
      <c r="F82" s="86" t="s">
        <v>603</v>
      </c>
      <c r="G82" s="86" t="s">
        <v>539</v>
      </c>
      <c r="H82" s="86" t="s">
        <v>604</v>
      </c>
      <c r="I82" s="51" t="s">
        <v>457</v>
      </c>
      <c r="J82" s="51"/>
      <c r="K82" s="51" t="s">
        <v>47</v>
      </c>
      <c r="L82" s="51">
        <v>1229574.68</v>
      </c>
      <c r="M82" s="51">
        <v>77088.759999999995</v>
      </c>
      <c r="N82" s="51">
        <v>0</v>
      </c>
      <c r="O82" s="51">
        <v>328651.52000000002</v>
      </c>
      <c r="P82" s="51">
        <v>0</v>
      </c>
      <c r="Q82" s="51">
        <v>823834.4</v>
      </c>
      <c r="R82" s="51">
        <v>0</v>
      </c>
      <c r="S82" s="52" t="s">
        <v>514</v>
      </c>
      <c r="T82" s="52" t="s">
        <v>533</v>
      </c>
      <c r="U82" s="52" t="s">
        <v>493</v>
      </c>
      <c r="V82" s="52">
        <v>2019</v>
      </c>
    </row>
    <row r="83" spans="1:22" s="4" customFormat="1" ht="51.75" customHeight="1" x14ac:dyDescent="0.25">
      <c r="A83" s="49"/>
      <c r="B83" s="51" t="s">
        <v>265</v>
      </c>
      <c r="C83" s="51" t="s">
        <v>615</v>
      </c>
      <c r="D83" s="42" t="s">
        <v>266</v>
      </c>
      <c r="E83" s="42" t="s">
        <v>607</v>
      </c>
      <c r="F83" s="42" t="s">
        <v>603</v>
      </c>
      <c r="G83" s="42" t="s">
        <v>504</v>
      </c>
      <c r="H83" s="42" t="s">
        <v>604</v>
      </c>
      <c r="I83" s="51" t="s">
        <v>457</v>
      </c>
      <c r="J83" s="51" t="s">
        <v>458</v>
      </c>
      <c r="K83" s="51" t="s">
        <v>47</v>
      </c>
      <c r="L83" s="51">
        <v>3752037.22</v>
      </c>
      <c r="M83" s="51">
        <v>0</v>
      </c>
      <c r="N83" s="51">
        <v>0</v>
      </c>
      <c r="O83" s="51">
        <v>2034804.23</v>
      </c>
      <c r="P83" s="51">
        <v>0</v>
      </c>
      <c r="Q83" s="51">
        <v>1717232.99</v>
      </c>
      <c r="R83" s="51">
        <v>0</v>
      </c>
      <c r="S83" s="52" t="s">
        <v>573</v>
      </c>
      <c r="T83" s="52" t="s">
        <v>613</v>
      </c>
      <c r="U83" s="52" t="s">
        <v>490</v>
      </c>
      <c r="V83" s="52">
        <v>2018</v>
      </c>
    </row>
    <row r="84" spans="1:22" s="4" customFormat="1" ht="89.25" customHeight="1" x14ac:dyDescent="0.25">
      <c r="A84" s="49"/>
      <c r="B84" s="51" t="s">
        <v>267</v>
      </c>
      <c r="C84" s="51" t="s">
        <v>949</v>
      </c>
      <c r="D84" s="42" t="s">
        <v>268</v>
      </c>
      <c r="E84" s="42" t="s">
        <v>608</v>
      </c>
      <c r="F84" s="42" t="s">
        <v>603</v>
      </c>
      <c r="G84" s="42" t="s">
        <v>460</v>
      </c>
      <c r="H84" s="42" t="s">
        <v>604</v>
      </c>
      <c r="I84" s="51" t="s">
        <v>457</v>
      </c>
      <c r="J84" s="51" t="s">
        <v>47</v>
      </c>
      <c r="K84" s="51" t="s">
        <v>47</v>
      </c>
      <c r="L84" s="51">
        <v>1665450</v>
      </c>
      <c r="M84" s="51">
        <v>0</v>
      </c>
      <c r="N84" s="51">
        <v>0</v>
      </c>
      <c r="O84" s="51">
        <v>555042</v>
      </c>
      <c r="P84" s="51">
        <v>0</v>
      </c>
      <c r="Q84" s="51">
        <v>1110408</v>
      </c>
      <c r="R84" s="51">
        <v>0</v>
      </c>
      <c r="S84" s="52" t="s">
        <v>509</v>
      </c>
      <c r="T84" s="52" t="s">
        <v>483</v>
      </c>
      <c r="U84" s="52" t="s">
        <v>490</v>
      </c>
      <c r="V84" s="52">
        <v>2018</v>
      </c>
    </row>
    <row r="85" spans="1:22" s="4" customFormat="1" ht="90" customHeight="1" x14ac:dyDescent="0.25">
      <c r="A85" s="49"/>
      <c r="B85" s="51" t="s">
        <v>269</v>
      </c>
      <c r="C85" s="51" t="s">
        <v>950</v>
      </c>
      <c r="D85" s="86" t="s">
        <v>609</v>
      </c>
      <c r="E85" s="86" t="s">
        <v>1026</v>
      </c>
      <c r="F85" s="86" t="s">
        <v>603</v>
      </c>
      <c r="G85" s="86" t="s">
        <v>469</v>
      </c>
      <c r="H85" s="86" t="s">
        <v>604</v>
      </c>
      <c r="I85" s="51" t="s">
        <v>457</v>
      </c>
      <c r="J85" s="51" t="s">
        <v>47</v>
      </c>
      <c r="K85" s="51" t="s">
        <v>47</v>
      </c>
      <c r="L85" s="51">
        <v>1226741.69</v>
      </c>
      <c r="M85" s="51">
        <v>0</v>
      </c>
      <c r="N85" s="51">
        <v>0</v>
      </c>
      <c r="O85" s="51">
        <v>401942.85</v>
      </c>
      <c r="P85" s="51">
        <v>0</v>
      </c>
      <c r="Q85" s="51">
        <v>824798.84</v>
      </c>
      <c r="R85" s="51">
        <v>0</v>
      </c>
      <c r="S85" s="52" t="s">
        <v>514</v>
      </c>
      <c r="T85" s="52" t="s">
        <v>533</v>
      </c>
      <c r="U85" s="52" t="s">
        <v>490</v>
      </c>
      <c r="V85" s="52">
        <v>2019</v>
      </c>
    </row>
    <row r="86" spans="1:22" s="4" customFormat="1" ht="66" customHeight="1" x14ac:dyDescent="0.25">
      <c r="A86" s="49"/>
      <c r="B86" s="51" t="s">
        <v>271</v>
      </c>
      <c r="C86" s="51" t="s">
        <v>943</v>
      </c>
      <c r="D86" s="42" t="s">
        <v>953</v>
      </c>
      <c r="E86" s="42" t="s">
        <v>611</v>
      </c>
      <c r="F86" s="42" t="s">
        <v>603</v>
      </c>
      <c r="G86" s="42" t="s">
        <v>541</v>
      </c>
      <c r="H86" s="42" t="s">
        <v>604</v>
      </c>
      <c r="I86" s="51" t="s">
        <v>457</v>
      </c>
      <c r="J86" s="51" t="s">
        <v>47</v>
      </c>
      <c r="K86" s="51" t="s">
        <v>47</v>
      </c>
      <c r="L86" s="51">
        <v>2011598.52</v>
      </c>
      <c r="M86" s="51">
        <v>0</v>
      </c>
      <c r="N86" s="51">
        <v>0</v>
      </c>
      <c r="O86" s="62">
        <v>402319.7</v>
      </c>
      <c r="P86" s="51">
        <v>0</v>
      </c>
      <c r="Q86" s="62">
        <v>1609278.82</v>
      </c>
      <c r="R86" s="51">
        <v>0</v>
      </c>
      <c r="S86" s="52" t="s">
        <v>514</v>
      </c>
      <c r="T86" s="52" t="s">
        <v>483</v>
      </c>
      <c r="U86" s="52" t="s">
        <v>490</v>
      </c>
      <c r="V86" s="52">
        <v>2018</v>
      </c>
    </row>
    <row r="87" spans="1:22" s="4" customFormat="1" ht="78" customHeight="1" x14ac:dyDescent="0.25">
      <c r="A87" s="49"/>
      <c r="B87" s="51" t="s">
        <v>954</v>
      </c>
      <c r="C87" s="51" t="s">
        <v>955</v>
      </c>
      <c r="D87" s="86" t="s">
        <v>956</v>
      </c>
      <c r="E87" s="86" t="s">
        <v>957</v>
      </c>
      <c r="F87" s="86" t="s">
        <v>603</v>
      </c>
      <c r="G87" s="86" t="s">
        <v>531</v>
      </c>
      <c r="H87" s="86" t="s">
        <v>604</v>
      </c>
      <c r="I87" s="51" t="s">
        <v>457</v>
      </c>
      <c r="J87" s="51" t="s">
        <v>47</v>
      </c>
      <c r="K87" s="51" t="s">
        <v>47</v>
      </c>
      <c r="L87" s="51">
        <v>407141.75</v>
      </c>
      <c r="M87" s="51">
        <v>169000</v>
      </c>
      <c r="N87" s="51">
        <v>0</v>
      </c>
      <c r="O87" s="51">
        <v>69141.75</v>
      </c>
      <c r="P87" s="51">
        <v>0</v>
      </c>
      <c r="Q87" s="51">
        <v>169000</v>
      </c>
      <c r="R87" s="51">
        <v>0</v>
      </c>
      <c r="S87" s="52" t="s">
        <v>484</v>
      </c>
      <c r="T87" s="52" t="s">
        <v>481</v>
      </c>
      <c r="U87" s="52" t="s">
        <v>967</v>
      </c>
      <c r="V87" s="52">
        <v>2021</v>
      </c>
    </row>
    <row r="88" spans="1:22" s="4" customFormat="1" ht="79.5" customHeight="1" x14ac:dyDescent="0.25">
      <c r="A88" s="49"/>
      <c r="B88" s="51" t="s">
        <v>958</v>
      </c>
      <c r="C88" s="51" t="s">
        <v>959</v>
      </c>
      <c r="D88" s="42" t="s">
        <v>960</v>
      </c>
      <c r="E88" s="42" t="s">
        <v>611</v>
      </c>
      <c r="F88" s="42" t="s">
        <v>603</v>
      </c>
      <c r="G88" s="42" t="s">
        <v>541</v>
      </c>
      <c r="H88" s="42" t="s">
        <v>604</v>
      </c>
      <c r="I88" s="51" t="s">
        <v>457</v>
      </c>
      <c r="J88" s="51" t="s">
        <v>47</v>
      </c>
      <c r="K88" s="51" t="s">
        <v>47</v>
      </c>
      <c r="L88" s="51">
        <v>718750</v>
      </c>
      <c r="M88" s="51">
        <v>0</v>
      </c>
      <c r="N88" s="51">
        <v>0</v>
      </c>
      <c r="O88" s="51">
        <v>143750</v>
      </c>
      <c r="P88" s="51">
        <v>0</v>
      </c>
      <c r="Q88" s="51">
        <v>575000</v>
      </c>
      <c r="R88" s="51">
        <v>0</v>
      </c>
      <c r="S88" s="52" t="s">
        <v>484</v>
      </c>
      <c r="T88" s="52" t="s">
        <v>639</v>
      </c>
      <c r="U88" s="52" t="s">
        <v>642</v>
      </c>
      <c r="V88" s="52">
        <v>2021</v>
      </c>
    </row>
    <row r="89" spans="1:22" s="84" customFormat="1" ht="102.75" customHeight="1" x14ac:dyDescent="0.25">
      <c r="A89" s="95"/>
      <c r="B89" s="51" t="s">
        <v>961</v>
      </c>
      <c r="C89" s="51" t="s">
        <v>962</v>
      </c>
      <c r="D89" s="86" t="s">
        <v>1006</v>
      </c>
      <c r="E89" s="86" t="s">
        <v>608</v>
      </c>
      <c r="F89" s="86" t="s">
        <v>603</v>
      </c>
      <c r="G89" s="86" t="s">
        <v>460</v>
      </c>
      <c r="H89" s="86" t="s">
        <v>604</v>
      </c>
      <c r="I89" s="51" t="s">
        <v>457</v>
      </c>
      <c r="J89" s="51" t="s">
        <v>47</v>
      </c>
      <c r="K89" s="62" t="s">
        <v>47</v>
      </c>
      <c r="L89" s="62">
        <v>1193327.6499999999</v>
      </c>
      <c r="M89" s="62">
        <v>0</v>
      </c>
      <c r="N89" s="51">
        <v>0</v>
      </c>
      <c r="O89" s="62">
        <v>664797.62</v>
      </c>
      <c r="P89" s="51">
        <v>0</v>
      </c>
      <c r="Q89" s="51">
        <v>528530.03</v>
      </c>
      <c r="R89" s="51">
        <v>0</v>
      </c>
      <c r="S89" s="52" t="s">
        <v>544</v>
      </c>
      <c r="T89" s="52" t="s">
        <v>640</v>
      </c>
      <c r="U89" s="52" t="s">
        <v>481</v>
      </c>
      <c r="V89" s="52">
        <v>2020</v>
      </c>
    </row>
    <row r="90" spans="1:22" s="84" customFormat="1" ht="101.25" customHeight="1" x14ac:dyDescent="0.25">
      <c r="A90" s="95" t="s">
        <v>292</v>
      </c>
      <c r="B90" s="51" t="s">
        <v>965</v>
      </c>
      <c r="C90" s="51" t="s">
        <v>966</v>
      </c>
      <c r="D90" s="86" t="s">
        <v>964</v>
      </c>
      <c r="E90" s="86" t="s">
        <v>606</v>
      </c>
      <c r="F90" s="86" t="s">
        <v>603</v>
      </c>
      <c r="G90" s="86" t="s">
        <v>539</v>
      </c>
      <c r="H90" s="86" t="s">
        <v>604</v>
      </c>
      <c r="I90" s="51" t="s">
        <v>457</v>
      </c>
      <c r="J90" s="51" t="s">
        <v>47</v>
      </c>
      <c r="K90" s="51" t="s">
        <v>47</v>
      </c>
      <c r="L90" s="62">
        <v>677199.48</v>
      </c>
      <c r="M90" s="62">
        <v>271961.78000000003</v>
      </c>
      <c r="N90" s="51">
        <v>0</v>
      </c>
      <c r="O90" s="51">
        <v>30237.7</v>
      </c>
      <c r="P90" s="51">
        <v>0</v>
      </c>
      <c r="Q90" s="51">
        <v>375000</v>
      </c>
      <c r="R90" s="51"/>
      <c r="S90" s="52" t="s">
        <v>544</v>
      </c>
      <c r="T90" s="52" t="s">
        <v>640</v>
      </c>
      <c r="U90" s="52" t="s">
        <v>481</v>
      </c>
      <c r="V90" s="52">
        <v>2021</v>
      </c>
    </row>
    <row r="91" spans="1:22" s="84" customFormat="1" ht="101.25" customHeight="1" x14ac:dyDescent="0.25">
      <c r="A91" s="95"/>
      <c r="B91" s="51" t="s">
        <v>1023</v>
      </c>
      <c r="C91" s="51" t="s">
        <v>1024</v>
      </c>
      <c r="D91" s="86" t="s">
        <v>1025</v>
      </c>
      <c r="E91" s="86" t="s">
        <v>1026</v>
      </c>
      <c r="F91" s="86" t="s">
        <v>603</v>
      </c>
      <c r="G91" s="86" t="s">
        <v>586</v>
      </c>
      <c r="H91" s="86" t="s">
        <v>604</v>
      </c>
      <c r="I91" s="51" t="s">
        <v>457</v>
      </c>
      <c r="J91" s="51" t="s">
        <v>47</v>
      </c>
      <c r="K91" s="51" t="s">
        <v>47</v>
      </c>
      <c r="L91" s="62">
        <v>628101.72</v>
      </c>
      <c r="M91" s="62">
        <v>314367.53000000003</v>
      </c>
      <c r="N91" s="51">
        <v>0</v>
      </c>
      <c r="O91" s="51">
        <v>0</v>
      </c>
      <c r="P91" s="51">
        <v>0</v>
      </c>
      <c r="Q91" s="51">
        <v>313734.19</v>
      </c>
      <c r="R91" s="51">
        <v>0</v>
      </c>
      <c r="S91" s="52" t="s">
        <v>544</v>
      </c>
      <c r="T91" s="52" t="s">
        <v>640</v>
      </c>
      <c r="U91" s="52" t="s">
        <v>481</v>
      </c>
      <c r="V91" s="52">
        <v>2021</v>
      </c>
    </row>
    <row r="92" spans="1:22" s="4" customFormat="1" ht="56.25" customHeight="1" x14ac:dyDescent="0.25">
      <c r="A92" s="49"/>
      <c r="B92" s="60" t="s">
        <v>272</v>
      </c>
      <c r="C92" s="60"/>
      <c r="D92" s="60" t="s">
        <v>273</v>
      </c>
      <c r="E92" s="60"/>
      <c r="F92" s="60"/>
      <c r="G92" s="60"/>
      <c r="H92" s="60"/>
      <c r="I92" s="60"/>
      <c r="J92" s="60"/>
      <c r="K92" s="60"/>
      <c r="L92" s="60"/>
      <c r="M92" s="60"/>
      <c r="N92" s="60"/>
      <c r="O92" s="60"/>
      <c r="P92" s="60"/>
      <c r="Q92" s="60"/>
      <c r="R92" s="60"/>
      <c r="S92" s="60"/>
      <c r="T92" s="60"/>
      <c r="U92" s="60"/>
      <c r="V92" s="60"/>
    </row>
    <row r="93" spans="1:22" s="4" customFormat="1" ht="88.5" customHeight="1" x14ac:dyDescent="0.25">
      <c r="A93" s="49"/>
      <c r="B93" s="51" t="s">
        <v>274</v>
      </c>
      <c r="C93" s="51" t="s">
        <v>620</v>
      </c>
      <c r="D93" s="86" t="s">
        <v>275</v>
      </c>
      <c r="E93" s="86" t="s">
        <v>616</v>
      </c>
      <c r="F93" s="86" t="s">
        <v>603</v>
      </c>
      <c r="G93" s="86" t="s">
        <v>508</v>
      </c>
      <c r="H93" s="86" t="s">
        <v>617</v>
      </c>
      <c r="I93" s="51" t="s">
        <v>457</v>
      </c>
      <c r="J93" s="51"/>
      <c r="K93" s="51" t="s">
        <v>47</v>
      </c>
      <c r="L93" s="51">
        <v>1018412.87</v>
      </c>
      <c r="M93" s="51">
        <v>0</v>
      </c>
      <c r="N93" s="51">
        <v>0</v>
      </c>
      <c r="O93" s="51">
        <v>152761.93</v>
      </c>
      <c r="P93" s="51">
        <v>0</v>
      </c>
      <c r="Q93" s="51">
        <v>865650.94</v>
      </c>
      <c r="R93" s="51">
        <v>0</v>
      </c>
      <c r="S93" s="52" t="s">
        <v>514</v>
      </c>
      <c r="T93" s="52" t="s">
        <v>483</v>
      </c>
      <c r="U93" s="52" t="s">
        <v>479</v>
      </c>
      <c r="V93" s="52">
        <v>2019</v>
      </c>
    </row>
    <row r="94" spans="1:22" s="4" customFormat="1" ht="104.25" customHeight="1" x14ac:dyDescent="0.25">
      <c r="A94" s="49"/>
      <c r="B94" s="51" t="s">
        <v>276</v>
      </c>
      <c r="C94" s="51" t="s">
        <v>621</v>
      </c>
      <c r="D94" s="42" t="s">
        <v>277</v>
      </c>
      <c r="E94" s="42" t="s">
        <v>618</v>
      </c>
      <c r="F94" s="42" t="s">
        <v>603</v>
      </c>
      <c r="G94" s="42" t="s">
        <v>543</v>
      </c>
      <c r="H94" s="42" t="s">
        <v>619</v>
      </c>
      <c r="I94" s="51" t="s">
        <v>457</v>
      </c>
      <c r="J94" s="51" t="s">
        <v>458</v>
      </c>
      <c r="K94" s="51" t="s">
        <v>47</v>
      </c>
      <c r="L94" s="51">
        <v>1035219</v>
      </c>
      <c r="M94" s="51">
        <v>155282.85</v>
      </c>
      <c r="N94" s="51">
        <v>0</v>
      </c>
      <c r="O94" s="51">
        <v>0</v>
      </c>
      <c r="P94" s="51">
        <v>0</v>
      </c>
      <c r="Q94" s="51">
        <v>879936.15</v>
      </c>
      <c r="R94" s="51">
        <v>0</v>
      </c>
      <c r="S94" s="52" t="s">
        <v>514</v>
      </c>
      <c r="T94" s="52" t="s">
        <v>490</v>
      </c>
      <c r="U94" s="52" t="s">
        <v>493</v>
      </c>
      <c r="V94" s="52">
        <v>2018</v>
      </c>
    </row>
    <row r="95" spans="1:22" s="4" customFormat="1" ht="69" customHeight="1" x14ac:dyDescent="0.25">
      <c r="A95" s="49"/>
      <c r="B95" s="60" t="s">
        <v>278</v>
      </c>
      <c r="C95" s="60"/>
      <c r="D95" s="60" t="s">
        <v>279</v>
      </c>
      <c r="E95" s="60"/>
      <c r="F95" s="60"/>
      <c r="G95" s="60"/>
      <c r="H95" s="60"/>
      <c r="I95" s="60"/>
      <c r="J95" s="60"/>
      <c r="K95" s="60"/>
      <c r="L95" s="60"/>
      <c r="M95" s="60"/>
      <c r="N95" s="60"/>
      <c r="O95" s="60"/>
      <c r="P95" s="60"/>
      <c r="Q95" s="60"/>
      <c r="R95" s="60"/>
      <c r="S95" s="60"/>
      <c r="T95" s="60"/>
      <c r="U95" s="60"/>
      <c r="V95" s="60"/>
    </row>
    <row r="96" spans="1:22" s="4" customFormat="1" ht="63.75" customHeight="1" x14ac:dyDescent="0.25">
      <c r="A96" s="49"/>
      <c r="B96" s="51" t="s">
        <v>280</v>
      </c>
      <c r="C96" s="51" t="s">
        <v>631</v>
      </c>
      <c r="D96" s="42" t="s">
        <v>281</v>
      </c>
      <c r="E96" s="42" t="s">
        <v>503</v>
      </c>
      <c r="F96" s="42" t="s">
        <v>603</v>
      </c>
      <c r="G96" s="42" t="s">
        <v>504</v>
      </c>
      <c r="H96" s="42" t="s">
        <v>622</v>
      </c>
      <c r="I96" s="51" t="s">
        <v>457</v>
      </c>
      <c r="J96" s="51" t="s">
        <v>47</v>
      </c>
      <c r="K96" s="51" t="s">
        <v>47</v>
      </c>
      <c r="L96" s="51">
        <v>670569.16</v>
      </c>
      <c r="M96" s="51">
        <v>165799.16</v>
      </c>
      <c r="N96" s="51">
        <v>0</v>
      </c>
      <c r="O96" s="51">
        <v>0</v>
      </c>
      <c r="P96" s="51">
        <v>0</v>
      </c>
      <c r="Q96" s="51">
        <v>504770</v>
      </c>
      <c r="R96" s="51">
        <v>0</v>
      </c>
      <c r="S96" s="52" t="s">
        <v>533</v>
      </c>
      <c r="T96" s="52" t="s">
        <v>490</v>
      </c>
      <c r="U96" s="52" t="s">
        <v>490</v>
      </c>
      <c r="V96" s="52">
        <v>2018</v>
      </c>
    </row>
    <row r="97" spans="1:22" s="4" customFormat="1" ht="141" customHeight="1" x14ac:dyDescent="0.25">
      <c r="A97" s="49"/>
      <c r="B97" s="51" t="s">
        <v>282</v>
      </c>
      <c r="C97" s="51" t="s">
        <v>632</v>
      </c>
      <c r="D97" s="42" t="s">
        <v>283</v>
      </c>
      <c r="E97" s="42" t="s">
        <v>623</v>
      </c>
      <c r="F97" s="42" t="s">
        <v>603</v>
      </c>
      <c r="G97" s="42" t="s">
        <v>501</v>
      </c>
      <c r="H97" s="42" t="s">
        <v>624</v>
      </c>
      <c r="I97" s="51" t="s">
        <v>457</v>
      </c>
      <c r="J97" s="51"/>
      <c r="K97" s="51" t="s">
        <v>47</v>
      </c>
      <c r="L97" s="51">
        <v>400317.65</v>
      </c>
      <c r="M97" s="51">
        <v>60047.65</v>
      </c>
      <c r="N97" s="51">
        <v>0</v>
      </c>
      <c r="O97" s="51">
        <v>0</v>
      </c>
      <c r="P97" s="51">
        <v>0</v>
      </c>
      <c r="Q97" s="51">
        <v>340270</v>
      </c>
      <c r="R97" s="51">
        <v>0</v>
      </c>
      <c r="S97" s="52" t="s">
        <v>510</v>
      </c>
      <c r="T97" s="52" t="s">
        <v>493</v>
      </c>
      <c r="U97" s="52" t="s">
        <v>629</v>
      </c>
      <c r="V97" s="52">
        <v>2018</v>
      </c>
    </row>
    <row r="98" spans="1:22" s="4" customFormat="1" ht="138.75" customHeight="1" x14ac:dyDescent="0.25">
      <c r="A98" s="49"/>
      <c r="B98" s="51" t="s">
        <v>284</v>
      </c>
      <c r="C98" s="51" t="s">
        <v>633</v>
      </c>
      <c r="D98" s="86" t="s">
        <v>285</v>
      </c>
      <c r="E98" s="86" t="s">
        <v>625</v>
      </c>
      <c r="F98" s="86" t="s">
        <v>603</v>
      </c>
      <c r="G98" s="86" t="s">
        <v>455</v>
      </c>
      <c r="H98" s="86" t="s">
        <v>622</v>
      </c>
      <c r="I98" s="51" t="s">
        <v>457</v>
      </c>
      <c r="J98" s="51" t="s">
        <v>47</v>
      </c>
      <c r="K98" s="51" t="s">
        <v>47</v>
      </c>
      <c r="L98" s="51">
        <v>610906</v>
      </c>
      <c r="M98" s="51">
        <v>85549.48</v>
      </c>
      <c r="N98" s="51">
        <v>0</v>
      </c>
      <c r="O98" s="51">
        <v>0</v>
      </c>
      <c r="P98" s="51">
        <v>6086.52</v>
      </c>
      <c r="Q98" s="51">
        <v>519270</v>
      </c>
      <c r="R98" s="51">
        <v>0</v>
      </c>
      <c r="S98" s="52" t="s">
        <v>630</v>
      </c>
      <c r="T98" s="52" t="s">
        <v>490</v>
      </c>
      <c r="U98" s="52" t="s">
        <v>493</v>
      </c>
      <c r="V98" s="52">
        <v>2018</v>
      </c>
    </row>
    <row r="99" spans="1:22" s="4" customFormat="1" ht="143.25" customHeight="1" x14ac:dyDescent="0.25">
      <c r="A99" s="49"/>
      <c r="B99" s="51" t="s">
        <v>286</v>
      </c>
      <c r="C99" s="51" t="s">
        <v>634</v>
      </c>
      <c r="D99" s="42" t="s">
        <v>287</v>
      </c>
      <c r="E99" s="42" t="s">
        <v>626</v>
      </c>
      <c r="F99" s="42" t="s">
        <v>603</v>
      </c>
      <c r="G99" s="42" t="s">
        <v>469</v>
      </c>
      <c r="H99" s="42" t="s">
        <v>622</v>
      </c>
      <c r="I99" s="51" t="s">
        <v>457</v>
      </c>
      <c r="J99" s="51" t="s">
        <v>47</v>
      </c>
      <c r="K99" s="51" t="s">
        <v>47</v>
      </c>
      <c r="L99" s="51">
        <v>566036.31999999995</v>
      </c>
      <c r="M99" s="51">
        <v>106766.32</v>
      </c>
      <c r="N99" s="51">
        <v>0</v>
      </c>
      <c r="O99" s="51">
        <v>0</v>
      </c>
      <c r="P99" s="51">
        <v>0</v>
      </c>
      <c r="Q99" s="51">
        <v>459270</v>
      </c>
      <c r="R99" s="51">
        <v>0</v>
      </c>
      <c r="S99" s="52" t="s">
        <v>510</v>
      </c>
      <c r="T99" s="52" t="s">
        <v>496</v>
      </c>
      <c r="U99" s="52" t="s">
        <v>559</v>
      </c>
      <c r="V99" s="52">
        <v>2019</v>
      </c>
    </row>
    <row r="100" spans="1:22" s="4" customFormat="1" ht="143.25" customHeight="1" x14ac:dyDescent="0.25">
      <c r="A100" s="49"/>
      <c r="B100" s="51" t="s">
        <v>288</v>
      </c>
      <c r="C100" s="51" t="s">
        <v>635</v>
      </c>
      <c r="D100" s="42" t="s">
        <v>289</v>
      </c>
      <c r="E100" s="42" t="s">
        <v>627</v>
      </c>
      <c r="F100" s="42" t="s">
        <v>603</v>
      </c>
      <c r="G100" s="42" t="s">
        <v>539</v>
      </c>
      <c r="H100" s="42" t="s">
        <v>622</v>
      </c>
      <c r="I100" s="51" t="s">
        <v>457</v>
      </c>
      <c r="J100" s="51" t="s">
        <v>47</v>
      </c>
      <c r="K100" s="51" t="s">
        <v>47</v>
      </c>
      <c r="L100" s="51">
        <v>569725.67999999993</v>
      </c>
      <c r="M100" s="51">
        <v>76594.850000000006</v>
      </c>
      <c r="N100" s="51">
        <v>0</v>
      </c>
      <c r="O100" s="51">
        <v>8864.01</v>
      </c>
      <c r="P100" s="51">
        <v>0</v>
      </c>
      <c r="Q100" s="51">
        <v>484266.82</v>
      </c>
      <c r="R100" s="51">
        <v>0</v>
      </c>
      <c r="S100" s="52" t="s">
        <v>495</v>
      </c>
      <c r="T100" s="52" t="s">
        <v>480</v>
      </c>
      <c r="U100" s="52" t="s">
        <v>546</v>
      </c>
      <c r="V100" s="52">
        <v>2019</v>
      </c>
    </row>
    <row r="101" spans="1:22" s="4" customFormat="1" ht="76.5" customHeight="1" x14ac:dyDescent="0.25">
      <c r="A101" s="49"/>
      <c r="B101" s="51" t="s">
        <v>290</v>
      </c>
      <c r="C101" s="51" t="s">
        <v>636</v>
      </c>
      <c r="D101" s="42" t="s">
        <v>291</v>
      </c>
      <c r="E101" s="42" t="s">
        <v>507</v>
      </c>
      <c r="F101" s="42" t="s">
        <v>628</v>
      </c>
      <c r="G101" s="42" t="s">
        <v>541</v>
      </c>
      <c r="H101" s="42" t="s">
        <v>622</v>
      </c>
      <c r="I101" s="51" t="s">
        <v>457</v>
      </c>
      <c r="J101" s="51" t="s">
        <v>47</v>
      </c>
      <c r="K101" s="51" t="s">
        <v>47</v>
      </c>
      <c r="L101" s="51">
        <v>616710.03</v>
      </c>
      <c r="M101" s="51">
        <v>92506.51</v>
      </c>
      <c r="N101" s="51">
        <v>0</v>
      </c>
      <c r="O101" s="51">
        <v>0</v>
      </c>
      <c r="P101" s="51">
        <v>0</v>
      </c>
      <c r="Q101" s="51">
        <v>524203.52000000002</v>
      </c>
      <c r="R101" s="51">
        <v>0</v>
      </c>
      <c r="S101" s="52" t="s">
        <v>483</v>
      </c>
      <c r="T101" s="52" t="s">
        <v>480</v>
      </c>
      <c r="U101" s="52" t="s">
        <v>546</v>
      </c>
      <c r="V101" s="52">
        <v>2018</v>
      </c>
    </row>
    <row r="102" spans="1:22" s="4" customFormat="1" ht="42" customHeight="1" x14ac:dyDescent="0.25">
      <c r="A102" s="49"/>
      <c r="B102" s="60" t="s">
        <v>295</v>
      </c>
      <c r="C102" s="60"/>
      <c r="D102" s="60" t="s">
        <v>296</v>
      </c>
      <c r="E102" s="60"/>
      <c r="F102" s="60"/>
      <c r="G102" s="60"/>
      <c r="H102" s="60"/>
      <c r="I102" s="60"/>
      <c r="J102" s="60"/>
      <c r="K102" s="60"/>
      <c r="L102" s="60"/>
      <c r="M102" s="60"/>
      <c r="N102" s="60"/>
      <c r="O102" s="60"/>
      <c r="P102" s="60"/>
      <c r="Q102" s="60"/>
      <c r="R102" s="60"/>
      <c r="S102" s="60"/>
      <c r="T102" s="60"/>
      <c r="U102" s="60"/>
      <c r="V102" s="60"/>
    </row>
    <row r="103" spans="1:22" s="84" customFormat="1" ht="63" customHeight="1" x14ac:dyDescent="0.25">
      <c r="A103" s="95"/>
      <c r="B103" s="51" t="s">
        <v>297</v>
      </c>
      <c r="C103" s="51" t="s">
        <v>643</v>
      </c>
      <c r="D103" s="86" t="s">
        <v>298</v>
      </c>
      <c r="E103" s="86" t="s">
        <v>538</v>
      </c>
      <c r="F103" s="86" t="s">
        <v>603</v>
      </c>
      <c r="G103" s="86" t="s">
        <v>539</v>
      </c>
      <c r="H103" s="86" t="s">
        <v>637</v>
      </c>
      <c r="I103" s="51" t="s">
        <v>457</v>
      </c>
      <c r="J103" s="51" t="s">
        <v>47</v>
      </c>
      <c r="K103" s="51" t="s">
        <v>47</v>
      </c>
      <c r="L103" s="51">
        <v>77618.78</v>
      </c>
      <c r="M103" s="51">
        <v>11642.82</v>
      </c>
      <c r="N103" s="51">
        <v>0</v>
      </c>
      <c r="O103" s="51">
        <v>0</v>
      </c>
      <c r="P103" s="51">
        <v>0</v>
      </c>
      <c r="Q103" s="51">
        <v>65975.960000000006</v>
      </c>
      <c r="R103" s="51">
        <v>0</v>
      </c>
      <c r="S103" s="52" t="s">
        <v>487</v>
      </c>
      <c r="T103" s="52" t="s">
        <v>481</v>
      </c>
      <c r="U103" s="52" t="s">
        <v>642</v>
      </c>
      <c r="V103" s="52">
        <v>2020</v>
      </c>
    </row>
    <row r="104" spans="1:22" s="84" customFormat="1" ht="91.5" customHeight="1" x14ac:dyDescent="0.25">
      <c r="A104" s="95"/>
      <c r="B104" s="51" t="s">
        <v>299</v>
      </c>
      <c r="C104" s="51" t="s">
        <v>644</v>
      </c>
      <c r="D104" s="86" t="s">
        <v>300</v>
      </c>
      <c r="E104" s="86" t="s">
        <v>468</v>
      </c>
      <c r="F104" s="86" t="s">
        <v>603</v>
      </c>
      <c r="G104" s="86" t="s">
        <v>469</v>
      </c>
      <c r="H104" s="86" t="s">
        <v>638</v>
      </c>
      <c r="I104" s="51" t="s">
        <v>457</v>
      </c>
      <c r="J104" s="51"/>
      <c r="K104" s="51"/>
      <c r="L104" s="51">
        <v>383205.9</v>
      </c>
      <c r="M104" s="51">
        <v>57480.9</v>
      </c>
      <c r="N104" s="51">
        <v>0</v>
      </c>
      <c r="O104" s="51">
        <v>0</v>
      </c>
      <c r="P104" s="51">
        <v>0</v>
      </c>
      <c r="Q104" s="51">
        <v>325725</v>
      </c>
      <c r="R104" s="51">
        <v>0</v>
      </c>
      <c r="S104" s="52" t="s">
        <v>598</v>
      </c>
      <c r="T104" s="52" t="s">
        <v>479</v>
      </c>
      <c r="U104" s="52" t="s">
        <v>496</v>
      </c>
      <c r="V104" s="52">
        <v>2018</v>
      </c>
    </row>
    <row r="105" spans="1:22" s="84" customFormat="1" ht="63.75" customHeight="1" x14ac:dyDescent="0.25">
      <c r="A105" s="95"/>
      <c r="B105" s="51" t="s">
        <v>301</v>
      </c>
      <c r="C105" s="51" t="s">
        <v>645</v>
      </c>
      <c r="D105" s="86" t="s">
        <v>302</v>
      </c>
      <c r="E105" s="86" t="s">
        <v>538</v>
      </c>
      <c r="F105" s="86" t="s">
        <v>603</v>
      </c>
      <c r="G105" s="86" t="s">
        <v>539</v>
      </c>
      <c r="H105" s="86" t="s">
        <v>637</v>
      </c>
      <c r="I105" s="51" t="s">
        <v>457</v>
      </c>
      <c r="J105" s="51" t="s">
        <v>47</v>
      </c>
      <c r="K105" s="51" t="s">
        <v>47</v>
      </c>
      <c r="L105" s="51">
        <v>644100</v>
      </c>
      <c r="M105" s="51">
        <v>96615</v>
      </c>
      <c r="N105" s="51">
        <v>0</v>
      </c>
      <c r="O105" s="51">
        <v>0</v>
      </c>
      <c r="P105" s="51">
        <v>0</v>
      </c>
      <c r="Q105" s="51">
        <v>547485</v>
      </c>
      <c r="R105" s="51">
        <v>0</v>
      </c>
      <c r="S105" s="52" t="s">
        <v>533</v>
      </c>
      <c r="T105" s="52" t="s">
        <v>493</v>
      </c>
      <c r="U105" s="52" t="s">
        <v>496</v>
      </c>
      <c r="V105" s="52">
        <v>2020</v>
      </c>
    </row>
    <row r="106" spans="1:22" s="84" customFormat="1" ht="75" customHeight="1" x14ac:dyDescent="0.25">
      <c r="A106" s="95"/>
      <c r="B106" s="51" t="s">
        <v>303</v>
      </c>
      <c r="C106" s="51" t="s">
        <v>646</v>
      </c>
      <c r="D106" s="86" t="s">
        <v>304</v>
      </c>
      <c r="E106" s="86" t="s">
        <v>507</v>
      </c>
      <c r="F106" s="86" t="s">
        <v>603</v>
      </c>
      <c r="G106" s="86" t="s">
        <v>541</v>
      </c>
      <c r="H106" s="86" t="s">
        <v>638</v>
      </c>
      <c r="I106" s="51" t="s">
        <v>457</v>
      </c>
      <c r="J106" s="51"/>
      <c r="K106" s="51"/>
      <c r="L106" s="51">
        <v>591365.71</v>
      </c>
      <c r="M106" s="51">
        <v>88704.87</v>
      </c>
      <c r="N106" s="51">
        <v>0</v>
      </c>
      <c r="O106" s="51">
        <v>0</v>
      </c>
      <c r="P106" s="51">
        <v>0</v>
      </c>
      <c r="Q106" s="51">
        <v>502660.84</v>
      </c>
      <c r="R106" s="51">
        <v>0</v>
      </c>
      <c r="S106" s="52" t="s">
        <v>510</v>
      </c>
      <c r="T106" s="52" t="s">
        <v>479</v>
      </c>
      <c r="U106" s="52" t="s">
        <v>629</v>
      </c>
      <c r="V106" s="52">
        <v>2019</v>
      </c>
    </row>
    <row r="107" spans="1:22" s="84" customFormat="1" ht="129.75" customHeight="1" x14ac:dyDescent="0.25">
      <c r="A107" s="95"/>
      <c r="B107" s="51" t="s">
        <v>305</v>
      </c>
      <c r="C107" s="51" t="s">
        <v>647</v>
      </c>
      <c r="D107" s="86" t="s">
        <v>306</v>
      </c>
      <c r="E107" s="86" t="s">
        <v>453</v>
      </c>
      <c r="F107" s="86" t="s">
        <v>603</v>
      </c>
      <c r="G107" s="86" t="s">
        <v>460</v>
      </c>
      <c r="H107" s="86" t="s">
        <v>637</v>
      </c>
      <c r="I107" s="51" t="s">
        <v>457</v>
      </c>
      <c r="J107" s="51" t="s">
        <v>47</v>
      </c>
      <c r="K107" s="51" t="s">
        <v>47</v>
      </c>
      <c r="L107" s="51">
        <v>238835.47</v>
      </c>
      <c r="M107" s="51">
        <v>35825.33</v>
      </c>
      <c r="N107" s="51">
        <v>0</v>
      </c>
      <c r="O107" s="63">
        <v>0</v>
      </c>
      <c r="P107" s="51">
        <v>0</v>
      </c>
      <c r="Q107" s="51">
        <v>203010.14</v>
      </c>
      <c r="R107" s="51">
        <v>0</v>
      </c>
      <c r="S107" s="52" t="s">
        <v>510</v>
      </c>
      <c r="T107" s="52" t="s">
        <v>533</v>
      </c>
      <c r="U107" s="52" t="s">
        <v>490</v>
      </c>
      <c r="V107" s="52">
        <v>2018</v>
      </c>
    </row>
    <row r="108" spans="1:22" s="84" customFormat="1" ht="79.5" customHeight="1" x14ac:dyDescent="0.25">
      <c r="A108" s="95"/>
      <c r="B108" s="51" t="s">
        <v>307</v>
      </c>
      <c r="C108" s="51" t="s">
        <v>648</v>
      </c>
      <c r="D108" s="86" t="s">
        <v>308</v>
      </c>
      <c r="E108" s="86" t="s">
        <v>453</v>
      </c>
      <c r="F108" s="86" t="s">
        <v>603</v>
      </c>
      <c r="G108" s="86" t="s">
        <v>460</v>
      </c>
      <c r="H108" s="86" t="s">
        <v>637</v>
      </c>
      <c r="I108" s="51" t="s">
        <v>457</v>
      </c>
      <c r="J108" s="51" t="s">
        <v>47</v>
      </c>
      <c r="K108" s="51" t="s">
        <v>47</v>
      </c>
      <c r="L108" s="51">
        <v>170426</v>
      </c>
      <c r="M108" s="62">
        <v>25563.9</v>
      </c>
      <c r="N108" s="51">
        <v>0</v>
      </c>
      <c r="O108" s="51">
        <v>0</v>
      </c>
      <c r="P108" s="51">
        <v>0</v>
      </c>
      <c r="Q108" s="62">
        <v>144862.1</v>
      </c>
      <c r="R108" s="51">
        <v>0</v>
      </c>
      <c r="S108" s="52" t="s">
        <v>476</v>
      </c>
      <c r="T108" s="52" t="s">
        <v>544</v>
      </c>
      <c r="U108" s="52" t="s">
        <v>485</v>
      </c>
      <c r="V108" s="52">
        <v>2020</v>
      </c>
    </row>
    <row r="109" spans="1:22" s="4" customFormat="1" ht="126" customHeight="1" x14ac:dyDescent="0.25">
      <c r="A109" s="49"/>
      <c r="B109" s="51" t="s">
        <v>309</v>
      </c>
      <c r="C109" s="51" t="s">
        <v>649</v>
      </c>
      <c r="D109" s="42" t="s">
        <v>310</v>
      </c>
      <c r="E109" s="42" t="s">
        <v>503</v>
      </c>
      <c r="F109" s="42" t="s">
        <v>603</v>
      </c>
      <c r="G109" s="42" t="s">
        <v>504</v>
      </c>
      <c r="H109" s="42" t="s">
        <v>637</v>
      </c>
      <c r="I109" s="51" t="s">
        <v>457</v>
      </c>
      <c r="J109" s="51" t="s">
        <v>47</v>
      </c>
      <c r="K109" s="51" t="s">
        <v>47</v>
      </c>
      <c r="L109" s="51">
        <v>470588.24</v>
      </c>
      <c r="M109" s="51">
        <v>70588.240000000005</v>
      </c>
      <c r="N109" s="51">
        <v>0</v>
      </c>
      <c r="O109" s="51">
        <v>0</v>
      </c>
      <c r="P109" s="51">
        <v>0</v>
      </c>
      <c r="Q109" s="51">
        <v>400000</v>
      </c>
      <c r="R109" s="51">
        <v>0</v>
      </c>
      <c r="S109" s="52" t="s">
        <v>544</v>
      </c>
      <c r="T109" s="52" t="s">
        <v>639</v>
      </c>
      <c r="U109" s="52" t="s">
        <v>482</v>
      </c>
      <c r="V109" s="52">
        <v>2020</v>
      </c>
    </row>
    <row r="110" spans="1:22" s="4" customFormat="1" ht="138.75" customHeight="1" x14ac:dyDescent="0.25">
      <c r="A110" s="49"/>
      <c r="B110" s="51" t="s">
        <v>311</v>
      </c>
      <c r="C110" s="51" t="s">
        <v>650</v>
      </c>
      <c r="D110" s="42" t="s">
        <v>312</v>
      </c>
      <c r="E110" s="42" t="s">
        <v>507</v>
      </c>
      <c r="F110" s="42" t="s">
        <v>603</v>
      </c>
      <c r="G110" s="42" t="s">
        <v>541</v>
      </c>
      <c r="H110" s="42" t="s">
        <v>637</v>
      </c>
      <c r="I110" s="51" t="s">
        <v>457</v>
      </c>
      <c r="J110" s="51" t="s">
        <v>47</v>
      </c>
      <c r="K110" s="51" t="s">
        <v>47</v>
      </c>
      <c r="L110" s="62">
        <v>98996.69</v>
      </c>
      <c r="M110" s="51">
        <v>45801.65</v>
      </c>
      <c r="N110" s="51">
        <v>0</v>
      </c>
      <c r="O110" s="51">
        <v>0</v>
      </c>
      <c r="P110" s="51">
        <v>0</v>
      </c>
      <c r="Q110" s="51">
        <v>53195.040000000001</v>
      </c>
      <c r="R110" s="51">
        <v>0</v>
      </c>
      <c r="S110" s="52" t="s">
        <v>491</v>
      </c>
      <c r="T110" s="52" t="s">
        <v>640</v>
      </c>
      <c r="U110" s="52" t="s">
        <v>482</v>
      </c>
      <c r="V110" s="52">
        <v>2020</v>
      </c>
    </row>
    <row r="111" spans="1:22" s="4" customFormat="1" ht="65.25" customHeight="1" x14ac:dyDescent="0.25">
      <c r="A111" s="49"/>
      <c r="B111" s="51" t="s">
        <v>313</v>
      </c>
      <c r="C111" s="51" t="s">
        <v>651</v>
      </c>
      <c r="D111" s="42" t="s">
        <v>314</v>
      </c>
      <c r="E111" s="42" t="s">
        <v>468</v>
      </c>
      <c r="F111" s="42" t="s">
        <v>603</v>
      </c>
      <c r="G111" s="42" t="s">
        <v>469</v>
      </c>
      <c r="H111" s="42" t="s">
        <v>638</v>
      </c>
      <c r="I111" s="51" t="s">
        <v>457</v>
      </c>
      <c r="J111" s="51" t="s">
        <v>47</v>
      </c>
      <c r="K111" s="51" t="s">
        <v>47</v>
      </c>
      <c r="L111" s="51">
        <v>294160.27</v>
      </c>
      <c r="M111" s="51">
        <v>80965.240000000005</v>
      </c>
      <c r="N111" s="51">
        <v>0</v>
      </c>
      <c r="O111" s="51">
        <v>0</v>
      </c>
      <c r="P111" s="51">
        <v>0</v>
      </c>
      <c r="Q111" s="51">
        <v>213195.03</v>
      </c>
      <c r="R111" s="51">
        <v>0</v>
      </c>
      <c r="S111" s="52" t="s">
        <v>491</v>
      </c>
      <c r="T111" s="52" t="s">
        <v>484</v>
      </c>
      <c r="U111" s="52" t="s">
        <v>485</v>
      </c>
      <c r="V111" s="52">
        <v>2021</v>
      </c>
    </row>
    <row r="112" spans="1:22" s="4" customFormat="1" ht="94.5" customHeight="1" x14ac:dyDescent="0.25">
      <c r="A112" s="49"/>
      <c r="B112" s="51" t="s">
        <v>315</v>
      </c>
      <c r="C112" s="51" t="s">
        <v>652</v>
      </c>
      <c r="D112" s="42" t="s">
        <v>316</v>
      </c>
      <c r="E112" s="42" t="s">
        <v>500</v>
      </c>
      <c r="F112" s="42" t="s">
        <v>603</v>
      </c>
      <c r="G112" s="42" t="s">
        <v>501</v>
      </c>
      <c r="H112" s="42" t="s">
        <v>638</v>
      </c>
      <c r="I112" s="51" t="s">
        <v>457</v>
      </c>
      <c r="J112" s="51" t="s">
        <v>47</v>
      </c>
      <c r="K112" s="51" t="s">
        <v>47</v>
      </c>
      <c r="L112" s="51">
        <v>588235.30000000005</v>
      </c>
      <c r="M112" s="51">
        <v>88235.3</v>
      </c>
      <c r="N112" s="51">
        <v>0</v>
      </c>
      <c r="O112" s="51">
        <v>0</v>
      </c>
      <c r="P112" s="51">
        <v>0</v>
      </c>
      <c r="Q112" s="51">
        <v>500000</v>
      </c>
      <c r="R112" s="51">
        <v>0</v>
      </c>
      <c r="S112" s="52" t="s">
        <v>641</v>
      </c>
      <c r="T112" s="52" t="s">
        <v>1083</v>
      </c>
      <c r="U112" s="52" t="s">
        <v>1084</v>
      </c>
      <c r="V112" s="52">
        <v>2022</v>
      </c>
    </row>
    <row r="113" spans="1:22" s="4" customFormat="1" ht="76.5" customHeight="1" x14ac:dyDescent="0.25">
      <c r="A113" s="49"/>
      <c r="B113" s="75" t="s">
        <v>317</v>
      </c>
      <c r="C113" s="76"/>
      <c r="D113" s="77" t="s">
        <v>318</v>
      </c>
      <c r="E113" s="76"/>
      <c r="F113" s="75"/>
      <c r="G113" s="76"/>
      <c r="H113" s="77"/>
      <c r="I113" s="76"/>
      <c r="J113" s="75"/>
      <c r="K113" s="76"/>
      <c r="L113" s="77"/>
      <c r="M113" s="76"/>
      <c r="N113" s="75"/>
      <c r="O113" s="76"/>
      <c r="P113" s="77"/>
      <c r="Q113" s="76"/>
      <c r="R113" s="75"/>
      <c r="S113" s="76"/>
      <c r="T113" s="77"/>
      <c r="U113" s="76"/>
      <c r="V113" s="75"/>
    </row>
    <row r="114" spans="1:22" s="4" customFormat="1" ht="81.75" customHeight="1" x14ac:dyDescent="0.25">
      <c r="A114" s="49"/>
      <c r="B114" s="29" t="s">
        <v>319</v>
      </c>
      <c r="C114" s="29"/>
      <c r="D114" s="29" t="s">
        <v>320</v>
      </c>
      <c r="E114" s="29"/>
      <c r="F114" s="29"/>
      <c r="G114" s="29"/>
      <c r="H114" s="29"/>
      <c r="I114" s="29"/>
      <c r="J114" s="29"/>
      <c r="K114" s="29"/>
      <c r="L114" s="29"/>
      <c r="M114" s="29"/>
      <c r="N114" s="29"/>
      <c r="O114" s="29"/>
      <c r="P114" s="29"/>
      <c r="Q114" s="29"/>
      <c r="R114" s="29"/>
      <c r="S114" s="29"/>
      <c r="T114" s="29"/>
      <c r="U114" s="29"/>
      <c r="V114" s="29"/>
    </row>
    <row r="115" spans="1:22" s="4" customFormat="1" ht="177" customHeight="1" x14ac:dyDescent="0.25">
      <c r="A115" s="49"/>
      <c r="B115" s="60" t="s">
        <v>321</v>
      </c>
      <c r="C115" s="60"/>
      <c r="D115" s="60" t="s">
        <v>931</v>
      </c>
      <c r="E115" s="60"/>
      <c r="F115" s="60"/>
      <c r="G115" s="60"/>
      <c r="H115" s="60"/>
      <c r="I115" s="60"/>
      <c r="J115" s="60"/>
      <c r="K115" s="60"/>
      <c r="L115" s="60"/>
      <c r="M115" s="60"/>
      <c r="N115" s="60"/>
      <c r="O115" s="60"/>
      <c r="P115" s="60"/>
      <c r="Q115" s="60"/>
      <c r="R115" s="60"/>
      <c r="S115" s="60"/>
      <c r="T115" s="60"/>
      <c r="U115" s="60"/>
      <c r="V115" s="60"/>
    </row>
    <row r="116" spans="1:22" s="4" customFormat="1" ht="127.5" customHeight="1" x14ac:dyDescent="0.25">
      <c r="A116" s="49"/>
      <c r="B116" s="51" t="s">
        <v>323</v>
      </c>
      <c r="C116" s="51" t="s">
        <v>933</v>
      </c>
      <c r="D116" s="42" t="s">
        <v>653</v>
      </c>
      <c r="E116" s="42" t="s">
        <v>503</v>
      </c>
      <c r="F116" s="42" t="s">
        <v>595</v>
      </c>
      <c r="G116" s="42" t="s">
        <v>504</v>
      </c>
      <c r="H116" s="42" t="s">
        <v>932</v>
      </c>
      <c r="I116" s="51" t="s">
        <v>506</v>
      </c>
      <c r="J116" s="51" t="s">
        <v>458</v>
      </c>
      <c r="K116" s="51" t="s">
        <v>47</v>
      </c>
      <c r="L116" s="51">
        <v>2044376</v>
      </c>
      <c r="M116" s="51">
        <v>306656</v>
      </c>
      <c r="N116" s="51">
        <v>0</v>
      </c>
      <c r="O116" s="51">
        <v>0</v>
      </c>
      <c r="P116" s="51">
        <v>0</v>
      </c>
      <c r="Q116" s="51">
        <v>1737720</v>
      </c>
      <c r="R116" s="51">
        <v>0</v>
      </c>
      <c r="S116" s="52" t="s">
        <v>475</v>
      </c>
      <c r="T116" s="52" t="s">
        <v>476</v>
      </c>
      <c r="U116" s="52" t="s">
        <v>641</v>
      </c>
      <c r="V116" s="52">
        <v>2020</v>
      </c>
    </row>
    <row r="117" spans="1:22" s="4" customFormat="1" ht="56.25" customHeight="1" x14ac:dyDescent="0.25">
      <c r="A117" s="49"/>
      <c r="B117" s="29" t="s">
        <v>325</v>
      </c>
      <c r="C117" s="29"/>
      <c r="D117" s="29" t="s">
        <v>326</v>
      </c>
      <c r="E117" s="29"/>
      <c r="F117" s="29"/>
      <c r="G117" s="29"/>
      <c r="H117" s="29"/>
      <c r="I117" s="29"/>
      <c r="J117" s="29"/>
      <c r="K117" s="29"/>
      <c r="L117" s="29"/>
      <c r="M117" s="29"/>
      <c r="N117" s="29"/>
      <c r="O117" s="29"/>
      <c r="P117" s="29"/>
      <c r="Q117" s="29"/>
      <c r="R117" s="29"/>
      <c r="S117" s="29"/>
      <c r="T117" s="29"/>
      <c r="U117" s="29"/>
      <c r="V117" s="29"/>
    </row>
    <row r="118" spans="1:22" s="4" customFormat="1" ht="55.5" customHeight="1" x14ac:dyDescent="0.25">
      <c r="A118" s="49"/>
      <c r="B118" s="60" t="s">
        <v>327</v>
      </c>
      <c r="C118" s="60"/>
      <c r="D118" s="60" t="s">
        <v>328</v>
      </c>
      <c r="E118" s="60"/>
      <c r="F118" s="60"/>
      <c r="G118" s="60"/>
      <c r="H118" s="60"/>
      <c r="I118" s="60"/>
      <c r="J118" s="60"/>
      <c r="K118" s="60"/>
      <c r="L118" s="60"/>
      <c r="M118" s="60"/>
      <c r="N118" s="60"/>
      <c r="O118" s="60"/>
      <c r="P118" s="60"/>
      <c r="Q118" s="60"/>
      <c r="R118" s="60"/>
      <c r="S118" s="60"/>
      <c r="T118" s="60"/>
      <c r="U118" s="60"/>
      <c r="V118" s="60"/>
    </row>
    <row r="119" spans="1:22" s="4" customFormat="1" ht="127.5" customHeight="1" x14ac:dyDescent="0.25">
      <c r="A119" s="49"/>
      <c r="B119" s="29" t="s">
        <v>1085</v>
      </c>
      <c r="C119" s="147"/>
      <c r="D119" s="29" t="s">
        <v>1099</v>
      </c>
      <c r="E119" s="29"/>
      <c r="F119" s="29"/>
      <c r="G119" s="29"/>
      <c r="H119" s="29"/>
      <c r="I119" s="29"/>
      <c r="J119" s="29"/>
      <c r="K119" s="29"/>
      <c r="L119" s="29"/>
      <c r="M119" s="29"/>
      <c r="N119" s="29"/>
      <c r="O119" s="29"/>
      <c r="P119" s="29"/>
      <c r="Q119" s="29"/>
      <c r="R119" s="29"/>
      <c r="S119" s="29"/>
      <c r="T119" s="29"/>
      <c r="U119" s="29"/>
      <c r="V119" s="29"/>
    </row>
    <row r="120" spans="1:22" s="4" customFormat="1" ht="55.5" customHeight="1" x14ac:dyDescent="0.25">
      <c r="A120" s="49"/>
      <c r="B120" s="60" t="s">
        <v>1086</v>
      </c>
      <c r="C120" s="60"/>
      <c r="D120" s="60" t="s">
        <v>1092</v>
      </c>
      <c r="E120" s="60"/>
      <c r="F120" s="60"/>
      <c r="G120" s="60"/>
      <c r="H120" s="60"/>
      <c r="I120" s="60"/>
      <c r="J120" s="60"/>
      <c r="K120" s="60"/>
      <c r="L120" s="60"/>
      <c r="M120" s="60"/>
      <c r="N120" s="60"/>
      <c r="O120" s="60"/>
      <c r="P120" s="60"/>
      <c r="Q120" s="60"/>
      <c r="R120" s="60"/>
      <c r="S120" s="60"/>
      <c r="T120" s="60"/>
      <c r="U120" s="60"/>
      <c r="V120" s="60"/>
    </row>
    <row r="121" spans="1:22" s="84" customFormat="1" ht="114" customHeight="1" x14ac:dyDescent="0.25">
      <c r="A121" s="95"/>
      <c r="B121" s="51" t="s">
        <v>1087</v>
      </c>
      <c r="C121" s="51" t="s">
        <v>1091</v>
      </c>
      <c r="D121" s="51" t="s">
        <v>1102</v>
      </c>
      <c r="E121" s="51" t="s">
        <v>1088</v>
      </c>
      <c r="F121" s="94" t="s">
        <v>47</v>
      </c>
      <c r="G121" s="51" t="s">
        <v>543</v>
      </c>
      <c r="H121" s="94" t="s">
        <v>47</v>
      </c>
      <c r="I121" s="94" t="s">
        <v>1089</v>
      </c>
      <c r="J121" s="94" t="s">
        <v>1090</v>
      </c>
      <c r="K121" s="94" t="s">
        <v>47</v>
      </c>
      <c r="L121" s="51">
        <v>7000000</v>
      </c>
      <c r="M121" s="51">
        <v>0</v>
      </c>
      <c r="N121" s="51">
        <v>0</v>
      </c>
      <c r="O121" s="51">
        <v>7000000</v>
      </c>
      <c r="P121" s="51">
        <v>0</v>
      </c>
      <c r="Q121" s="51">
        <v>0</v>
      </c>
      <c r="R121" s="51">
        <v>0</v>
      </c>
      <c r="S121" s="94" t="s">
        <v>47</v>
      </c>
      <c r="T121" s="94" t="s">
        <v>47</v>
      </c>
      <c r="U121" s="158" t="s">
        <v>486</v>
      </c>
      <c r="V121" s="51">
        <v>2019</v>
      </c>
    </row>
    <row r="122" spans="1:22" s="4" customFormat="1" ht="55.5" customHeight="1" x14ac:dyDescent="0.25">
      <c r="A122" s="49"/>
      <c r="B122" s="78" t="s">
        <v>948</v>
      </c>
      <c r="C122" s="78"/>
      <c r="D122" s="79" t="s">
        <v>947</v>
      </c>
      <c r="E122" s="78"/>
      <c r="F122" s="78"/>
      <c r="G122" s="78"/>
      <c r="H122" s="78"/>
      <c r="I122" s="78"/>
      <c r="J122" s="78"/>
      <c r="K122" s="78"/>
      <c r="L122" s="78"/>
      <c r="M122" s="78"/>
      <c r="N122" s="78"/>
      <c r="O122" s="78"/>
      <c r="P122" s="78"/>
      <c r="Q122" s="78"/>
      <c r="R122" s="78"/>
      <c r="S122" s="78"/>
      <c r="T122" s="78"/>
      <c r="U122" s="78"/>
      <c r="V122" s="78"/>
    </row>
    <row r="123" spans="1:22" s="4" customFormat="1" ht="69" customHeight="1" x14ac:dyDescent="0.25">
      <c r="A123" s="49"/>
      <c r="B123" s="75" t="s">
        <v>654</v>
      </c>
      <c r="C123" s="76"/>
      <c r="D123" s="77" t="s">
        <v>330</v>
      </c>
      <c r="E123" s="76"/>
      <c r="F123" s="75"/>
      <c r="G123" s="75"/>
      <c r="H123" s="76"/>
      <c r="I123" s="77"/>
      <c r="J123" s="76"/>
      <c r="K123" s="75"/>
      <c r="L123" s="75"/>
      <c r="M123" s="76"/>
      <c r="N123" s="77"/>
      <c r="O123" s="76"/>
      <c r="P123" s="75"/>
      <c r="Q123" s="75"/>
      <c r="R123" s="76"/>
      <c r="S123" s="77"/>
      <c r="T123" s="76"/>
      <c r="U123" s="75"/>
      <c r="V123" s="75"/>
    </row>
    <row r="124" spans="1:22" s="4" customFormat="1" ht="81.75" customHeight="1" x14ac:dyDescent="0.25">
      <c r="A124" s="49"/>
      <c r="B124" s="29" t="s">
        <v>331</v>
      </c>
      <c r="C124" s="29"/>
      <c r="D124" s="29" t="s">
        <v>332</v>
      </c>
      <c r="E124" s="29"/>
      <c r="F124" s="29"/>
      <c r="G124" s="29"/>
      <c r="H124" s="29"/>
      <c r="I124" s="29"/>
      <c r="J124" s="29"/>
      <c r="K124" s="29"/>
      <c r="L124" s="29"/>
      <c r="M124" s="29"/>
      <c r="N124" s="29"/>
      <c r="O124" s="29"/>
      <c r="P124" s="29"/>
      <c r="Q124" s="29"/>
      <c r="R124" s="29"/>
      <c r="S124" s="29"/>
      <c r="T124" s="29"/>
      <c r="U124" s="29"/>
      <c r="V124" s="29"/>
    </row>
    <row r="125" spans="1:22" s="4" customFormat="1" ht="82.5" customHeight="1" x14ac:dyDescent="0.25">
      <c r="A125" s="49"/>
      <c r="B125" s="60" t="s">
        <v>655</v>
      </c>
      <c r="C125" s="60"/>
      <c r="D125" s="60" t="s">
        <v>334</v>
      </c>
      <c r="E125" s="60"/>
      <c r="F125" s="60"/>
      <c r="G125" s="60"/>
      <c r="H125" s="60"/>
      <c r="I125" s="60"/>
      <c r="J125" s="60"/>
      <c r="K125" s="60"/>
      <c r="L125" s="60"/>
      <c r="M125" s="60"/>
      <c r="N125" s="60"/>
      <c r="O125" s="60"/>
      <c r="P125" s="60"/>
      <c r="Q125" s="60"/>
      <c r="R125" s="60"/>
      <c r="S125" s="60"/>
      <c r="T125" s="60"/>
      <c r="U125" s="60"/>
      <c r="V125" s="60"/>
    </row>
    <row r="126" spans="1:22" s="4" customFormat="1" ht="18" customHeight="1" x14ac:dyDescent="0.25">
      <c r="A126" s="49"/>
      <c r="B126" s="159"/>
      <c r="C126" s="159"/>
      <c r="D126" s="160"/>
      <c r="E126" s="160"/>
      <c r="F126" s="160"/>
      <c r="G126" s="160"/>
      <c r="H126" s="160"/>
      <c r="I126" s="159"/>
      <c r="J126" s="159"/>
      <c r="K126" s="51"/>
      <c r="L126" s="51"/>
      <c r="M126" s="51"/>
      <c r="N126" s="51"/>
      <c r="O126" s="51"/>
      <c r="P126" s="51"/>
      <c r="Q126" s="51"/>
      <c r="R126" s="51"/>
      <c r="S126" s="52"/>
      <c r="T126" s="52"/>
      <c r="U126" s="52"/>
      <c r="V126" s="52"/>
    </row>
    <row r="127" spans="1:22" s="4" customFormat="1" ht="67.5" customHeight="1" x14ac:dyDescent="0.25">
      <c r="A127" s="49"/>
      <c r="B127" s="51" t="s">
        <v>335</v>
      </c>
      <c r="C127" s="51" t="s">
        <v>659</v>
      </c>
      <c r="D127" s="42" t="s">
        <v>336</v>
      </c>
      <c r="E127" s="42" t="s">
        <v>507</v>
      </c>
      <c r="F127" s="42" t="s">
        <v>656</v>
      </c>
      <c r="G127" s="42" t="s">
        <v>541</v>
      </c>
      <c r="H127" s="42" t="s">
        <v>658</v>
      </c>
      <c r="I127" s="51" t="s">
        <v>457</v>
      </c>
      <c r="J127" s="51" t="s">
        <v>458</v>
      </c>
      <c r="K127" s="51"/>
      <c r="L127" s="51">
        <v>609261.09</v>
      </c>
      <c r="M127" s="51">
        <v>188789.09</v>
      </c>
      <c r="N127" s="51">
        <v>34092</v>
      </c>
      <c r="O127" s="51">
        <v>0</v>
      </c>
      <c r="P127" s="51">
        <v>0</v>
      </c>
      <c r="Q127" s="51">
        <v>386380</v>
      </c>
      <c r="R127" s="51">
        <v>0</v>
      </c>
      <c r="S127" s="52" t="s">
        <v>559</v>
      </c>
      <c r="T127" s="52" t="s">
        <v>497</v>
      </c>
      <c r="U127" s="52" t="s">
        <v>489</v>
      </c>
      <c r="V127" s="52">
        <v>2020</v>
      </c>
    </row>
    <row r="128" spans="1:22" s="4" customFormat="1" ht="52.5" customHeight="1" x14ac:dyDescent="0.25">
      <c r="A128" s="49"/>
      <c r="B128" s="60" t="s">
        <v>337</v>
      </c>
      <c r="C128" s="60"/>
      <c r="D128" s="60" t="s">
        <v>338</v>
      </c>
      <c r="E128" s="60"/>
      <c r="F128" s="60"/>
      <c r="G128" s="60"/>
      <c r="H128" s="60"/>
      <c r="I128" s="60"/>
      <c r="J128" s="60"/>
      <c r="K128" s="60"/>
      <c r="L128" s="60"/>
      <c r="M128" s="60"/>
      <c r="N128" s="60"/>
      <c r="O128" s="60"/>
      <c r="P128" s="60"/>
      <c r="Q128" s="60"/>
      <c r="R128" s="60"/>
      <c r="S128" s="60"/>
      <c r="T128" s="60"/>
      <c r="U128" s="60"/>
      <c r="V128" s="60"/>
    </row>
    <row r="129" spans="1:22" s="4" customFormat="1" ht="54.75" customHeight="1" x14ac:dyDescent="0.25">
      <c r="A129" s="49"/>
      <c r="B129" s="51" t="s">
        <v>339</v>
      </c>
      <c r="C129" s="51" t="s">
        <v>663</v>
      </c>
      <c r="D129" s="42" t="s">
        <v>660</v>
      </c>
      <c r="E129" s="42" t="s">
        <v>453</v>
      </c>
      <c r="F129" s="42" t="s">
        <v>656</v>
      </c>
      <c r="G129" s="42" t="s">
        <v>460</v>
      </c>
      <c r="H129" s="42" t="s">
        <v>661</v>
      </c>
      <c r="I129" s="51" t="s">
        <v>457</v>
      </c>
      <c r="J129" s="51" t="s">
        <v>458</v>
      </c>
      <c r="K129" s="51" t="s">
        <v>47</v>
      </c>
      <c r="L129" s="51">
        <v>324706</v>
      </c>
      <c r="M129" s="51">
        <v>24354</v>
      </c>
      <c r="N129" s="51">
        <v>24352</v>
      </c>
      <c r="O129" s="51">
        <v>0</v>
      </c>
      <c r="P129" s="51">
        <v>0</v>
      </c>
      <c r="Q129" s="51">
        <v>276000</v>
      </c>
      <c r="R129" s="51">
        <v>0</v>
      </c>
      <c r="S129" s="52" t="s">
        <v>629</v>
      </c>
      <c r="T129" s="52" t="s">
        <v>546</v>
      </c>
      <c r="U129" s="52" t="s">
        <v>486</v>
      </c>
      <c r="V129" s="52">
        <v>2020</v>
      </c>
    </row>
    <row r="130" spans="1:22" s="4" customFormat="1" ht="76.5" x14ac:dyDescent="0.25">
      <c r="A130" s="49"/>
      <c r="B130" s="51" t="s">
        <v>341</v>
      </c>
      <c r="C130" s="51" t="s">
        <v>664</v>
      </c>
      <c r="D130" s="42" t="s">
        <v>342</v>
      </c>
      <c r="E130" s="42" t="s">
        <v>468</v>
      </c>
      <c r="F130" s="42" t="s">
        <v>656</v>
      </c>
      <c r="G130" s="42" t="s">
        <v>469</v>
      </c>
      <c r="H130" s="42" t="s">
        <v>661</v>
      </c>
      <c r="I130" s="51" t="s">
        <v>457</v>
      </c>
      <c r="J130" s="51"/>
      <c r="K130" s="51"/>
      <c r="L130" s="51">
        <v>361401</v>
      </c>
      <c r="M130" s="51">
        <v>54383</v>
      </c>
      <c r="N130" s="51">
        <v>24893</v>
      </c>
      <c r="O130" s="51">
        <v>0</v>
      </c>
      <c r="P130" s="51">
        <v>0</v>
      </c>
      <c r="Q130" s="51">
        <v>282125</v>
      </c>
      <c r="R130" s="51">
        <v>0</v>
      </c>
      <c r="S130" s="52" t="s">
        <v>629</v>
      </c>
      <c r="T130" s="52" t="s">
        <v>546</v>
      </c>
      <c r="U130" s="52" t="s">
        <v>558</v>
      </c>
      <c r="V130" s="52">
        <v>2019</v>
      </c>
    </row>
    <row r="131" spans="1:22" s="4" customFormat="1" ht="67.5" customHeight="1" x14ac:dyDescent="0.25">
      <c r="A131" s="49"/>
      <c r="B131" s="51" t="s">
        <v>343</v>
      </c>
      <c r="C131" s="51" t="s">
        <v>665</v>
      </c>
      <c r="D131" s="42" t="s">
        <v>344</v>
      </c>
      <c r="E131" s="42" t="s">
        <v>500</v>
      </c>
      <c r="F131" s="42" t="s">
        <v>656</v>
      </c>
      <c r="G131" s="42" t="s">
        <v>531</v>
      </c>
      <c r="H131" s="42" t="s">
        <v>661</v>
      </c>
      <c r="I131" s="51" t="s">
        <v>457</v>
      </c>
      <c r="J131" s="51"/>
      <c r="K131" s="51"/>
      <c r="L131" s="51">
        <v>358491.09</v>
      </c>
      <c r="M131" s="51">
        <v>62051.44</v>
      </c>
      <c r="N131" s="51">
        <v>24035.65</v>
      </c>
      <c r="O131" s="51">
        <v>0</v>
      </c>
      <c r="P131" s="51">
        <v>0</v>
      </c>
      <c r="Q131" s="51">
        <v>272404</v>
      </c>
      <c r="R131" s="51">
        <v>0</v>
      </c>
      <c r="S131" s="52" t="s">
        <v>492</v>
      </c>
      <c r="T131" s="52" t="s">
        <v>546</v>
      </c>
      <c r="U131" s="52" t="s">
        <v>558</v>
      </c>
      <c r="V131" s="52">
        <v>2019</v>
      </c>
    </row>
    <row r="132" spans="1:22" s="4" customFormat="1" ht="63.75" customHeight="1" x14ac:dyDescent="0.25">
      <c r="A132" s="49"/>
      <c r="B132" s="29" t="s">
        <v>345</v>
      </c>
      <c r="C132" s="29"/>
      <c r="D132" s="29" t="s">
        <v>346</v>
      </c>
      <c r="E132" s="29"/>
      <c r="F132" s="29"/>
      <c r="G132" s="29" t="s">
        <v>666</v>
      </c>
      <c r="H132" s="29"/>
      <c r="I132" s="29"/>
      <c r="J132" s="29"/>
      <c r="K132" s="29"/>
      <c r="L132" s="29"/>
      <c r="M132" s="29"/>
      <c r="N132" s="29"/>
      <c r="O132" s="29"/>
      <c r="P132" s="29"/>
      <c r="Q132" s="29"/>
      <c r="R132" s="29"/>
      <c r="S132" s="29"/>
      <c r="T132" s="29"/>
      <c r="U132" s="29"/>
      <c r="V132" s="29"/>
    </row>
    <row r="133" spans="1:22" s="4" customFormat="1" ht="67.5" customHeight="1" x14ac:dyDescent="0.25">
      <c r="A133" s="49"/>
      <c r="B133" s="60" t="s">
        <v>347</v>
      </c>
      <c r="C133" s="60"/>
      <c r="D133" s="60" t="s">
        <v>348</v>
      </c>
      <c r="E133" s="60"/>
      <c r="F133" s="60"/>
      <c r="G133" s="60"/>
      <c r="H133" s="60"/>
      <c r="I133" s="60"/>
      <c r="J133" s="60"/>
      <c r="K133" s="60"/>
      <c r="L133" s="60"/>
      <c r="M133" s="60"/>
      <c r="N133" s="60"/>
      <c r="O133" s="60"/>
      <c r="P133" s="60"/>
      <c r="Q133" s="60"/>
      <c r="R133" s="60"/>
      <c r="S133" s="60"/>
      <c r="T133" s="60"/>
      <c r="U133" s="60"/>
      <c r="V133" s="60"/>
    </row>
    <row r="134" spans="1:22" s="4" customFormat="1" ht="141" customHeight="1" x14ac:dyDescent="0.25">
      <c r="A134" s="49"/>
      <c r="B134" s="51" t="s">
        <v>349</v>
      </c>
      <c r="C134" s="51" t="s">
        <v>670</v>
      </c>
      <c r="D134" s="42" t="s">
        <v>667</v>
      </c>
      <c r="E134" s="42" t="s">
        <v>453</v>
      </c>
      <c r="F134" s="42" t="s">
        <v>656</v>
      </c>
      <c r="G134" s="42" t="s">
        <v>455</v>
      </c>
      <c r="H134" s="42" t="s">
        <v>668</v>
      </c>
      <c r="I134" s="51" t="s">
        <v>457</v>
      </c>
      <c r="J134" s="51" t="s">
        <v>458</v>
      </c>
      <c r="K134" s="51" t="s">
        <v>47</v>
      </c>
      <c r="L134" s="51">
        <v>320628</v>
      </c>
      <c r="M134" s="51">
        <v>48095</v>
      </c>
      <c r="N134" s="51">
        <v>0</v>
      </c>
      <c r="O134" s="51">
        <v>0</v>
      </c>
      <c r="P134" s="51">
        <v>0</v>
      </c>
      <c r="Q134" s="51">
        <v>272533</v>
      </c>
      <c r="R134" s="51">
        <v>0</v>
      </c>
      <c r="S134" s="52" t="s">
        <v>496</v>
      </c>
      <c r="T134" s="52" t="s">
        <v>546</v>
      </c>
      <c r="U134" s="52" t="s">
        <v>558</v>
      </c>
      <c r="V134" s="52">
        <v>2020</v>
      </c>
    </row>
    <row r="135" spans="1:22" s="4" customFormat="1" ht="69" customHeight="1" x14ac:dyDescent="0.25">
      <c r="A135" s="49"/>
      <c r="B135" s="51" t="s">
        <v>351</v>
      </c>
      <c r="C135" s="51" t="s">
        <v>671</v>
      </c>
      <c r="D135" s="42" t="s">
        <v>352</v>
      </c>
      <c r="E135" s="42" t="s">
        <v>471</v>
      </c>
      <c r="F135" s="42" t="s">
        <v>669</v>
      </c>
      <c r="G135" s="42" t="s">
        <v>472</v>
      </c>
      <c r="H135" s="42" t="s">
        <v>668</v>
      </c>
      <c r="I135" s="51" t="s">
        <v>465</v>
      </c>
      <c r="J135" s="51" t="s">
        <v>466</v>
      </c>
      <c r="K135" s="51" t="s">
        <v>467</v>
      </c>
      <c r="L135" s="51">
        <v>1346002.9</v>
      </c>
      <c r="M135" s="51">
        <v>213824.9</v>
      </c>
      <c r="N135" s="51">
        <v>0</v>
      </c>
      <c r="O135" s="51">
        <v>0</v>
      </c>
      <c r="P135" s="51">
        <v>0</v>
      </c>
      <c r="Q135" s="51">
        <v>1132178</v>
      </c>
      <c r="R135" s="51">
        <v>0</v>
      </c>
      <c r="S135" s="52" t="s">
        <v>496</v>
      </c>
      <c r="T135" s="52" t="s">
        <v>546</v>
      </c>
      <c r="U135" s="52" t="s">
        <v>497</v>
      </c>
      <c r="V135" s="52">
        <v>2020</v>
      </c>
    </row>
    <row r="136" spans="1:22" s="4" customFormat="1" ht="56.25" customHeight="1" x14ac:dyDescent="0.25">
      <c r="A136" s="49"/>
      <c r="B136" s="75" t="s">
        <v>353</v>
      </c>
      <c r="C136" s="76"/>
      <c r="D136" s="77" t="s">
        <v>354</v>
      </c>
      <c r="E136" s="76"/>
      <c r="F136" s="75"/>
      <c r="G136" s="75"/>
      <c r="H136" s="76"/>
      <c r="I136" s="77"/>
      <c r="J136" s="76"/>
      <c r="K136" s="75"/>
      <c r="L136" s="75"/>
      <c r="M136" s="76"/>
      <c r="N136" s="77"/>
      <c r="O136" s="76"/>
      <c r="P136" s="75"/>
      <c r="Q136" s="75"/>
      <c r="R136" s="76"/>
      <c r="S136" s="77"/>
      <c r="T136" s="76"/>
      <c r="U136" s="75"/>
      <c r="V136" s="75"/>
    </row>
    <row r="137" spans="1:22" s="4" customFormat="1" ht="78.75" customHeight="1" x14ac:dyDescent="0.25">
      <c r="A137" s="49"/>
      <c r="B137" s="29" t="s">
        <v>355</v>
      </c>
      <c r="C137" s="29"/>
      <c r="D137" s="29" t="s">
        <v>356</v>
      </c>
      <c r="E137" s="29"/>
      <c r="F137" s="29"/>
      <c r="G137" s="29"/>
      <c r="H137" s="29"/>
      <c r="I137" s="29"/>
      <c r="J137" s="29"/>
      <c r="K137" s="29"/>
      <c r="L137" s="29"/>
      <c r="M137" s="29"/>
      <c r="N137" s="29"/>
      <c r="O137" s="29"/>
      <c r="P137" s="29"/>
      <c r="Q137" s="29"/>
      <c r="R137" s="29"/>
      <c r="S137" s="29"/>
      <c r="T137" s="29"/>
      <c r="U137" s="29"/>
      <c r="V137" s="29"/>
    </row>
    <row r="138" spans="1:22" s="4" customFormat="1" ht="89.25" customHeight="1" x14ac:dyDescent="0.25">
      <c r="A138" s="49"/>
      <c r="B138" s="60" t="s">
        <v>357</v>
      </c>
      <c r="C138" s="60"/>
      <c r="D138" s="60" t="s">
        <v>358</v>
      </c>
      <c r="E138" s="60"/>
      <c r="F138" s="60"/>
      <c r="G138" s="60"/>
      <c r="H138" s="60"/>
      <c r="I138" s="60"/>
      <c r="J138" s="60"/>
      <c r="K138" s="60"/>
      <c r="L138" s="60"/>
      <c r="M138" s="60"/>
      <c r="N138" s="60"/>
      <c r="O138" s="60"/>
      <c r="P138" s="60"/>
      <c r="Q138" s="60"/>
      <c r="R138" s="60"/>
      <c r="S138" s="60"/>
      <c r="T138" s="60"/>
      <c r="U138" s="60"/>
      <c r="V138" s="60"/>
    </row>
    <row r="139" spans="1:22" s="4" customFormat="1" ht="148.5" customHeight="1" x14ac:dyDescent="0.25">
      <c r="A139" s="49"/>
      <c r="B139" s="51" t="s">
        <v>968</v>
      </c>
      <c r="C139" s="51" t="s">
        <v>974</v>
      </c>
      <c r="D139" s="51" t="s">
        <v>980</v>
      </c>
      <c r="E139" s="51" t="s">
        <v>981</v>
      </c>
      <c r="F139" s="51" t="s">
        <v>673</v>
      </c>
      <c r="G139" s="51" t="s">
        <v>455</v>
      </c>
      <c r="H139" s="51" t="s">
        <v>897</v>
      </c>
      <c r="I139" s="51" t="s">
        <v>457</v>
      </c>
      <c r="J139" s="51" t="s">
        <v>47</v>
      </c>
      <c r="K139" s="51" t="s">
        <v>47</v>
      </c>
      <c r="L139" s="51">
        <v>246940.54</v>
      </c>
      <c r="M139" s="51">
        <v>18520.55</v>
      </c>
      <c r="N139" s="51">
        <v>18520.55</v>
      </c>
      <c r="O139" s="51">
        <v>0</v>
      </c>
      <c r="P139" s="51">
        <v>0</v>
      </c>
      <c r="Q139" s="51">
        <v>209899.44</v>
      </c>
      <c r="R139" s="51">
        <v>0</v>
      </c>
      <c r="S139" s="52" t="s">
        <v>491</v>
      </c>
      <c r="T139" s="52" t="s">
        <v>641</v>
      </c>
      <c r="U139" s="52" t="s">
        <v>640</v>
      </c>
      <c r="V139" s="52">
        <v>2020</v>
      </c>
    </row>
    <row r="140" spans="1:22" s="4" customFormat="1" ht="89.25" customHeight="1" x14ac:dyDescent="0.25">
      <c r="A140" s="49"/>
      <c r="B140" s="51" t="s">
        <v>969</v>
      </c>
      <c r="C140" s="51" t="s">
        <v>975</v>
      </c>
      <c r="D140" s="51" t="s">
        <v>986</v>
      </c>
      <c r="E140" s="51" t="s">
        <v>987</v>
      </c>
      <c r="F140" s="51" t="s">
        <v>673</v>
      </c>
      <c r="G140" s="51" t="s">
        <v>531</v>
      </c>
      <c r="H140" s="51" t="s">
        <v>897</v>
      </c>
      <c r="I140" s="51" t="s">
        <v>457</v>
      </c>
      <c r="J140" s="51" t="s">
        <v>47</v>
      </c>
      <c r="K140" s="51" t="s">
        <v>47</v>
      </c>
      <c r="L140" s="51">
        <v>105925.23</v>
      </c>
      <c r="M140" s="51">
        <v>7944.39</v>
      </c>
      <c r="N140" s="51">
        <v>7944.39</v>
      </c>
      <c r="O140" s="51">
        <v>0</v>
      </c>
      <c r="P140" s="51">
        <v>0</v>
      </c>
      <c r="Q140" s="51">
        <v>90036.45</v>
      </c>
      <c r="R140" s="51">
        <v>0</v>
      </c>
      <c r="S140" s="52" t="s">
        <v>491</v>
      </c>
      <c r="T140" s="52" t="s">
        <v>484</v>
      </c>
      <c r="U140" s="52" t="s">
        <v>988</v>
      </c>
      <c r="V140" s="52">
        <v>2020</v>
      </c>
    </row>
    <row r="141" spans="1:22" s="4" customFormat="1" ht="111.75" customHeight="1" x14ac:dyDescent="0.25">
      <c r="A141" s="49"/>
      <c r="B141" s="51" t="s">
        <v>970</v>
      </c>
      <c r="C141" s="51" t="s">
        <v>976</v>
      </c>
      <c r="D141" s="51" t="s">
        <v>1005</v>
      </c>
      <c r="E141" s="51" t="s">
        <v>990</v>
      </c>
      <c r="F141" s="51" t="s">
        <v>673</v>
      </c>
      <c r="G141" s="51" t="s">
        <v>531</v>
      </c>
      <c r="H141" s="51" t="s">
        <v>897</v>
      </c>
      <c r="I141" s="51" t="s">
        <v>457</v>
      </c>
      <c r="J141" s="51" t="s">
        <v>47</v>
      </c>
      <c r="K141" s="51" t="s">
        <v>47</v>
      </c>
      <c r="L141" s="51">
        <v>86991.46</v>
      </c>
      <c r="M141" s="51">
        <v>0</v>
      </c>
      <c r="N141" s="51">
        <v>6524.36</v>
      </c>
      <c r="O141" s="51">
        <v>6524.36</v>
      </c>
      <c r="P141" s="51">
        <v>0</v>
      </c>
      <c r="Q141" s="51">
        <v>73942.740000000005</v>
      </c>
      <c r="R141" s="51">
        <v>0</v>
      </c>
      <c r="S141" s="81" t="s">
        <v>491</v>
      </c>
      <c r="T141" s="52" t="s">
        <v>544</v>
      </c>
      <c r="U141" s="52" t="s">
        <v>485</v>
      </c>
      <c r="V141" s="52">
        <v>2019</v>
      </c>
    </row>
    <row r="142" spans="1:22" s="4" customFormat="1" ht="155.25" customHeight="1" x14ac:dyDescent="0.25">
      <c r="A142" s="49"/>
      <c r="B142" s="51" t="s">
        <v>971</v>
      </c>
      <c r="C142" s="51" t="s">
        <v>977</v>
      </c>
      <c r="D142" s="51" t="s">
        <v>991</v>
      </c>
      <c r="E142" s="51" t="s">
        <v>992</v>
      </c>
      <c r="F142" s="51" t="s">
        <v>673</v>
      </c>
      <c r="G142" s="51" t="s">
        <v>586</v>
      </c>
      <c r="H142" s="51" t="s">
        <v>897</v>
      </c>
      <c r="I142" s="51" t="s">
        <v>457</v>
      </c>
      <c r="J142" s="51" t="s">
        <v>47</v>
      </c>
      <c r="K142" s="51" t="s">
        <v>47</v>
      </c>
      <c r="L142" s="62">
        <v>182486</v>
      </c>
      <c r="M142" s="51">
        <v>13686</v>
      </c>
      <c r="N142" s="51">
        <v>13686</v>
      </c>
      <c r="O142" s="51">
        <v>0</v>
      </c>
      <c r="P142" s="51">
        <v>0</v>
      </c>
      <c r="Q142" s="62">
        <v>155114</v>
      </c>
      <c r="R142" s="51">
        <v>0</v>
      </c>
      <c r="S142" s="52" t="s">
        <v>491</v>
      </c>
      <c r="T142" s="52" t="s">
        <v>484</v>
      </c>
      <c r="U142" s="52" t="s">
        <v>485</v>
      </c>
      <c r="V142" s="52">
        <v>2020</v>
      </c>
    </row>
    <row r="143" spans="1:22" s="4" customFormat="1" ht="89.25" customHeight="1" x14ac:dyDescent="0.25">
      <c r="A143" s="49"/>
      <c r="B143" s="51" t="s">
        <v>972</v>
      </c>
      <c r="C143" s="51" t="s">
        <v>978</v>
      </c>
      <c r="D143" s="51" t="s">
        <v>993</v>
      </c>
      <c r="E143" s="51" t="s">
        <v>677</v>
      </c>
      <c r="F143" s="51" t="s">
        <v>673</v>
      </c>
      <c r="G143" s="51" t="s">
        <v>508</v>
      </c>
      <c r="H143" s="51" t="s">
        <v>897</v>
      </c>
      <c r="I143" s="51" t="s">
        <v>457</v>
      </c>
      <c r="J143" s="51" t="s">
        <v>47</v>
      </c>
      <c r="K143" s="51" t="s">
        <v>47</v>
      </c>
      <c r="L143" s="51">
        <v>294117.65000000002</v>
      </c>
      <c r="M143" s="51">
        <v>22058.83</v>
      </c>
      <c r="N143" s="51">
        <v>22058.82</v>
      </c>
      <c r="O143" s="51">
        <v>0</v>
      </c>
      <c r="P143" s="51">
        <v>0</v>
      </c>
      <c r="Q143" s="62">
        <v>250000</v>
      </c>
      <c r="R143" s="51">
        <v>0</v>
      </c>
      <c r="S143" s="52" t="s">
        <v>491</v>
      </c>
      <c r="T143" s="52" t="s">
        <v>485</v>
      </c>
      <c r="U143" s="52" t="s">
        <v>639</v>
      </c>
      <c r="V143" s="52">
        <v>2021</v>
      </c>
    </row>
    <row r="144" spans="1:22" s="4" customFormat="1" ht="89.25" customHeight="1" x14ac:dyDescent="0.25">
      <c r="A144" s="49"/>
      <c r="B144" s="51" t="s">
        <v>973</v>
      </c>
      <c r="C144" s="51" t="s">
        <v>979</v>
      </c>
      <c r="D144" s="51" t="s">
        <v>996</v>
      </c>
      <c r="E144" s="51" t="s">
        <v>997</v>
      </c>
      <c r="F144" s="51" t="s">
        <v>673</v>
      </c>
      <c r="G144" s="51" t="s">
        <v>508</v>
      </c>
      <c r="H144" s="51" t="s">
        <v>897</v>
      </c>
      <c r="I144" s="51" t="s">
        <v>457</v>
      </c>
      <c r="J144" s="51" t="s">
        <v>47</v>
      </c>
      <c r="K144" s="51" t="s">
        <v>47</v>
      </c>
      <c r="L144" s="62">
        <v>34226.199999999997</v>
      </c>
      <c r="M144" s="51">
        <v>0</v>
      </c>
      <c r="N144" s="51">
        <v>2286.4899999999998</v>
      </c>
      <c r="O144" s="51">
        <v>0</v>
      </c>
      <c r="P144" s="51">
        <v>0</v>
      </c>
      <c r="Q144" s="62">
        <v>25913.51</v>
      </c>
      <c r="R144" s="51">
        <v>0</v>
      </c>
      <c r="S144" s="52" t="s">
        <v>491</v>
      </c>
      <c r="T144" s="52" t="s">
        <v>485</v>
      </c>
      <c r="U144" s="52" t="s">
        <v>639</v>
      </c>
      <c r="V144" s="52">
        <v>2019</v>
      </c>
    </row>
    <row r="145" spans="1:22" s="4" customFormat="1" ht="114" customHeight="1" x14ac:dyDescent="0.25">
      <c r="A145" s="49"/>
      <c r="B145" s="51" t="s">
        <v>994</v>
      </c>
      <c r="C145" s="51" t="s">
        <v>999</v>
      </c>
      <c r="D145" s="51" t="s">
        <v>998</v>
      </c>
      <c r="E145" s="51" t="s">
        <v>1000</v>
      </c>
      <c r="F145" s="51" t="s">
        <v>673</v>
      </c>
      <c r="G145" s="51" t="s">
        <v>696</v>
      </c>
      <c r="H145" s="51" t="s">
        <v>897</v>
      </c>
      <c r="I145" s="51" t="s">
        <v>457</v>
      </c>
      <c r="J145" s="51" t="s">
        <v>47</v>
      </c>
      <c r="K145" s="51" t="s">
        <v>47</v>
      </c>
      <c r="L145" s="62">
        <v>153580</v>
      </c>
      <c r="M145" s="62">
        <v>11518.5</v>
      </c>
      <c r="N145" s="62">
        <v>11518.5</v>
      </c>
      <c r="O145" s="51">
        <v>0</v>
      </c>
      <c r="P145" s="51">
        <v>0</v>
      </c>
      <c r="Q145" s="62">
        <v>130543</v>
      </c>
      <c r="R145" s="51">
        <v>0</v>
      </c>
      <c r="S145" s="52" t="s">
        <v>491</v>
      </c>
      <c r="T145" s="52" t="s">
        <v>641</v>
      </c>
      <c r="U145" s="52" t="s">
        <v>485</v>
      </c>
      <c r="V145" s="52">
        <v>2019</v>
      </c>
    </row>
    <row r="146" spans="1:22" s="4" customFormat="1" ht="110.25" customHeight="1" x14ac:dyDescent="0.25">
      <c r="A146" s="49"/>
      <c r="B146" s="51" t="s">
        <v>995</v>
      </c>
      <c r="C146" s="51" t="s">
        <v>1002</v>
      </c>
      <c r="D146" s="51" t="s">
        <v>1004</v>
      </c>
      <c r="E146" s="51" t="s">
        <v>678</v>
      </c>
      <c r="F146" s="51" t="s">
        <v>673</v>
      </c>
      <c r="G146" s="51" t="s">
        <v>1003</v>
      </c>
      <c r="H146" s="51" t="s">
        <v>897</v>
      </c>
      <c r="I146" s="51" t="s">
        <v>457</v>
      </c>
      <c r="J146" s="51" t="s">
        <v>47</v>
      </c>
      <c r="K146" s="51" t="s">
        <v>47</v>
      </c>
      <c r="L146" s="62">
        <v>200000</v>
      </c>
      <c r="M146" s="62">
        <v>15000</v>
      </c>
      <c r="N146" s="62">
        <v>15000</v>
      </c>
      <c r="O146" s="51">
        <v>0</v>
      </c>
      <c r="P146" s="51">
        <v>0</v>
      </c>
      <c r="Q146" s="51">
        <v>170000</v>
      </c>
      <c r="R146" s="51">
        <v>0</v>
      </c>
      <c r="S146" s="52" t="s">
        <v>491</v>
      </c>
      <c r="T146" s="52">
        <v>2018.11</v>
      </c>
      <c r="U146" s="52" t="s">
        <v>988</v>
      </c>
      <c r="V146" s="52">
        <v>2020</v>
      </c>
    </row>
    <row r="147" spans="1:22" s="84" customFormat="1" ht="152.25" customHeight="1" x14ac:dyDescent="0.25">
      <c r="A147" s="95"/>
      <c r="B147" s="60" t="s">
        <v>359</v>
      </c>
      <c r="C147" s="60"/>
      <c r="D147" s="60" t="s">
        <v>360</v>
      </c>
      <c r="E147" s="60"/>
      <c r="F147" s="60"/>
      <c r="G147" s="60"/>
      <c r="H147" s="60"/>
      <c r="I147" s="60"/>
      <c r="J147" s="60"/>
      <c r="K147" s="60"/>
      <c r="L147" s="60"/>
      <c r="M147" s="60"/>
      <c r="N147" s="60"/>
      <c r="O147" s="60"/>
      <c r="P147" s="60"/>
      <c r="Q147" s="60"/>
      <c r="R147" s="60"/>
      <c r="S147" s="60"/>
      <c r="T147" s="60"/>
      <c r="U147" s="60"/>
      <c r="V147" s="60"/>
    </row>
    <row r="148" spans="1:22" s="4" customFormat="1" ht="86.25" customHeight="1" x14ac:dyDescent="0.25">
      <c r="A148" s="49"/>
      <c r="B148" s="51" t="s">
        <v>361</v>
      </c>
      <c r="C148" s="51" t="s">
        <v>682</v>
      </c>
      <c r="D148" s="42" t="s">
        <v>362</v>
      </c>
      <c r="E148" s="42" t="s">
        <v>672</v>
      </c>
      <c r="F148" s="42" t="s">
        <v>673</v>
      </c>
      <c r="G148" s="42" t="s">
        <v>455</v>
      </c>
      <c r="H148" s="42" t="s">
        <v>674</v>
      </c>
      <c r="I148" s="51" t="s">
        <v>457</v>
      </c>
      <c r="J148" s="51" t="s">
        <v>47</v>
      </c>
      <c r="K148" s="51" t="s">
        <v>47</v>
      </c>
      <c r="L148" s="51">
        <v>13180</v>
      </c>
      <c r="M148" s="51">
        <v>990</v>
      </c>
      <c r="N148" s="51">
        <v>988</v>
      </c>
      <c r="O148" s="51">
        <v>0</v>
      </c>
      <c r="P148" s="51">
        <v>0</v>
      </c>
      <c r="Q148" s="51">
        <v>11202</v>
      </c>
      <c r="R148" s="51">
        <v>0</v>
      </c>
      <c r="S148" s="52" t="s">
        <v>486</v>
      </c>
      <c r="T148" s="52" t="s">
        <v>489</v>
      </c>
      <c r="U148" s="52" t="s">
        <v>476</v>
      </c>
      <c r="V148" s="52">
        <v>2022</v>
      </c>
    </row>
    <row r="149" spans="1:22" s="4" customFormat="1" ht="66" customHeight="1" x14ac:dyDescent="0.25">
      <c r="A149" s="49"/>
      <c r="B149" s="51" t="s">
        <v>363</v>
      </c>
      <c r="C149" s="51" t="s">
        <v>683</v>
      </c>
      <c r="D149" s="42" t="s">
        <v>364</v>
      </c>
      <c r="E149" s="42" t="s">
        <v>675</v>
      </c>
      <c r="F149" s="42" t="s">
        <v>673</v>
      </c>
      <c r="G149" s="42" t="s">
        <v>531</v>
      </c>
      <c r="H149" s="42" t="s">
        <v>674</v>
      </c>
      <c r="I149" s="51" t="s">
        <v>457</v>
      </c>
      <c r="J149" s="51" t="s">
        <v>47</v>
      </c>
      <c r="K149" s="51" t="s">
        <v>47</v>
      </c>
      <c r="L149" s="51">
        <v>6134.9299999999994</v>
      </c>
      <c r="M149" s="51">
        <v>460.12</v>
      </c>
      <c r="N149" s="51">
        <v>460.12</v>
      </c>
      <c r="O149" s="51">
        <v>0</v>
      </c>
      <c r="P149" s="51">
        <v>0</v>
      </c>
      <c r="Q149" s="51">
        <v>5214.6900000000005</v>
      </c>
      <c r="R149" s="51">
        <v>0</v>
      </c>
      <c r="S149" s="52" t="s">
        <v>475</v>
      </c>
      <c r="T149" s="52" t="s">
        <v>489</v>
      </c>
      <c r="U149" s="52" t="s">
        <v>487</v>
      </c>
      <c r="V149" s="52">
        <v>2020</v>
      </c>
    </row>
    <row r="150" spans="1:22" s="84" customFormat="1" ht="120" customHeight="1" x14ac:dyDescent="0.25">
      <c r="A150" s="95"/>
      <c r="B150" s="51" t="s">
        <v>365</v>
      </c>
      <c r="C150" s="51" t="s">
        <v>684</v>
      </c>
      <c r="D150" s="86" t="s">
        <v>366</v>
      </c>
      <c r="E150" s="86" t="s">
        <v>676</v>
      </c>
      <c r="F150" s="86" t="s">
        <v>673</v>
      </c>
      <c r="G150" s="86" t="s">
        <v>586</v>
      </c>
      <c r="H150" s="86" t="s">
        <v>674</v>
      </c>
      <c r="I150" s="51" t="s">
        <v>457</v>
      </c>
      <c r="J150" s="51" t="s">
        <v>47</v>
      </c>
      <c r="K150" s="51" t="s">
        <v>47</v>
      </c>
      <c r="L150" s="51">
        <v>7725.47</v>
      </c>
      <c r="M150" s="51">
        <v>579.41999999999996</v>
      </c>
      <c r="N150" s="51">
        <v>579.4</v>
      </c>
      <c r="O150" s="51">
        <v>0</v>
      </c>
      <c r="P150" s="51">
        <v>0</v>
      </c>
      <c r="Q150" s="51">
        <v>6566.65</v>
      </c>
      <c r="R150" s="51">
        <v>0</v>
      </c>
      <c r="S150" s="52" t="s">
        <v>475</v>
      </c>
      <c r="T150" s="52" t="s">
        <v>489</v>
      </c>
      <c r="U150" s="52" t="s">
        <v>476</v>
      </c>
      <c r="V150" s="52">
        <v>2022</v>
      </c>
    </row>
    <row r="151" spans="1:22" s="4" customFormat="1" ht="153" customHeight="1" x14ac:dyDescent="0.25">
      <c r="A151" s="49"/>
      <c r="B151" s="51" t="s">
        <v>367</v>
      </c>
      <c r="C151" s="51" t="s">
        <v>685</v>
      </c>
      <c r="D151" s="42" t="s">
        <v>368</v>
      </c>
      <c r="E151" s="42" t="s">
        <v>677</v>
      </c>
      <c r="F151" s="42" t="s">
        <v>673</v>
      </c>
      <c r="G151" s="42" t="s">
        <v>508</v>
      </c>
      <c r="H151" s="42" t="s">
        <v>674</v>
      </c>
      <c r="I151" s="51" t="s">
        <v>457</v>
      </c>
      <c r="J151" s="51" t="s">
        <v>47</v>
      </c>
      <c r="K151" s="51" t="s">
        <v>47</v>
      </c>
      <c r="L151" s="62">
        <v>5453.27</v>
      </c>
      <c r="M151" s="51">
        <v>409</v>
      </c>
      <c r="N151" s="51">
        <v>408.99</v>
      </c>
      <c r="O151" s="51">
        <v>0</v>
      </c>
      <c r="P151" s="51">
        <v>0</v>
      </c>
      <c r="Q151" s="51">
        <v>4635.28</v>
      </c>
      <c r="R151" s="51">
        <v>0</v>
      </c>
      <c r="S151" s="52" t="s">
        <v>475</v>
      </c>
      <c r="T151" s="52" t="s">
        <v>489</v>
      </c>
      <c r="U151" s="52" t="s">
        <v>476</v>
      </c>
      <c r="V151" s="52">
        <v>2022</v>
      </c>
    </row>
    <row r="152" spans="1:22" s="4" customFormat="1" ht="105" customHeight="1" x14ac:dyDescent="0.25">
      <c r="A152" s="49"/>
      <c r="B152" s="51" t="s">
        <v>369</v>
      </c>
      <c r="C152" s="51" t="s">
        <v>686</v>
      </c>
      <c r="D152" s="42" t="s">
        <v>1046</v>
      </c>
      <c r="E152" s="42" t="s">
        <v>678</v>
      </c>
      <c r="F152" s="42" t="s">
        <v>673</v>
      </c>
      <c r="G152" s="42" t="s">
        <v>679</v>
      </c>
      <c r="H152" s="42" t="s">
        <v>674</v>
      </c>
      <c r="I152" s="51" t="s">
        <v>457</v>
      </c>
      <c r="J152" s="51" t="s">
        <v>47</v>
      </c>
      <c r="K152" s="51" t="s">
        <v>47</v>
      </c>
      <c r="L152" s="51">
        <v>2271.7600000000002</v>
      </c>
      <c r="M152" s="51">
        <v>170.38</v>
      </c>
      <c r="N152" s="51">
        <v>170</v>
      </c>
      <c r="O152" s="51">
        <v>0</v>
      </c>
      <c r="P152" s="51">
        <v>0</v>
      </c>
      <c r="Q152" s="51">
        <v>1931.38</v>
      </c>
      <c r="R152" s="51">
        <v>0</v>
      </c>
      <c r="S152" s="52" t="s">
        <v>486</v>
      </c>
      <c r="T152" s="52" t="s">
        <v>476</v>
      </c>
      <c r="U152" s="52" t="s">
        <v>544</v>
      </c>
      <c r="V152" s="52">
        <v>2021</v>
      </c>
    </row>
    <row r="153" spans="1:22" s="4" customFormat="1" ht="162" customHeight="1" x14ac:dyDescent="0.25">
      <c r="A153" s="49"/>
      <c r="B153" s="51" t="s">
        <v>371</v>
      </c>
      <c r="C153" s="51" t="s">
        <v>687</v>
      </c>
      <c r="D153" s="42" t="s">
        <v>372</v>
      </c>
      <c r="E153" s="42" t="s">
        <v>680</v>
      </c>
      <c r="F153" s="42" t="s">
        <v>673</v>
      </c>
      <c r="G153" s="42" t="s">
        <v>681</v>
      </c>
      <c r="H153" s="42" t="s">
        <v>674</v>
      </c>
      <c r="I153" s="51" t="s">
        <v>457</v>
      </c>
      <c r="J153" s="51" t="s">
        <v>47</v>
      </c>
      <c r="K153" s="51" t="s">
        <v>47</v>
      </c>
      <c r="L153" s="51">
        <v>6589</v>
      </c>
      <c r="M153" s="51">
        <v>0</v>
      </c>
      <c r="N153" s="62">
        <v>494.18</v>
      </c>
      <c r="O153" s="51">
        <v>0</v>
      </c>
      <c r="P153" s="51">
        <v>494.18</v>
      </c>
      <c r="Q153" s="62">
        <v>5600.64</v>
      </c>
      <c r="R153" s="51">
        <v>0</v>
      </c>
      <c r="S153" s="52" t="s">
        <v>475</v>
      </c>
      <c r="T153" s="52" t="s">
        <v>487</v>
      </c>
      <c r="U153" s="52" t="s">
        <v>491</v>
      </c>
      <c r="V153" s="52">
        <v>2022</v>
      </c>
    </row>
    <row r="154" spans="1:22" s="4" customFormat="1" ht="78.75" customHeight="1" x14ac:dyDescent="0.25">
      <c r="A154" s="49"/>
      <c r="B154" s="29" t="s">
        <v>373</v>
      </c>
      <c r="C154" s="29"/>
      <c r="D154" s="29" t="s">
        <v>374</v>
      </c>
      <c r="E154" s="29"/>
      <c r="F154" s="29"/>
      <c r="G154" s="29"/>
      <c r="H154" s="29"/>
      <c r="I154" s="29"/>
      <c r="J154" s="29"/>
      <c r="K154" s="29"/>
      <c r="L154" s="29"/>
      <c r="M154" s="29"/>
      <c r="N154" s="29"/>
      <c r="O154" s="29"/>
      <c r="P154" s="29"/>
      <c r="Q154" s="29"/>
      <c r="R154" s="29"/>
      <c r="S154" s="29"/>
      <c r="T154" s="29"/>
      <c r="U154" s="29"/>
      <c r="V154" s="29"/>
    </row>
    <row r="155" spans="1:22" s="4" customFormat="1" ht="82.5" customHeight="1" x14ac:dyDescent="0.25">
      <c r="A155" s="49"/>
      <c r="B155" s="60" t="s">
        <v>375</v>
      </c>
      <c r="C155" s="60"/>
      <c r="D155" s="60" t="s">
        <v>688</v>
      </c>
      <c r="E155" s="60"/>
      <c r="F155" s="60"/>
      <c r="G155" s="60"/>
      <c r="H155" s="60"/>
      <c r="I155" s="60"/>
      <c r="J155" s="60"/>
      <c r="K155" s="60"/>
      <c r="L155" s="60"/>
      <c r="M155" s="60"/>
      <c r="N155" s="60"/>
      <c r="O155" s="60"/>
      <c r="P155" s="60"/>
      <c r="Q155" s="60"/>
      <c r="R155" s="60"/>
      <c r="S155" s="60"/>
      <c r="T155" s="60"/>
      <c r="U155" s="60"/>
      <c r="V155" s="60"/>
    </row>
    <row r="156" spans="1:22" s="4" customFormat="1" ht="87.75" customHeight="1" x14ac:dyDescent="0.25">
      <c r="A156" s="49"/>
      <c r="B156" s="51" t="s">
        <v>699</v>
      </c>
      <c r="C156" s="51" t="s">
        <v>702</v>
      </c>
      <c r="D156" s="86" t="s">
        <v>378</v>
      </c>
      <c r="E156" s="86" t="s">
        <v>689</v>
      </c>
      <c r="F156" s="86" t="s">
        <v>690</v>
      </c>
      <c r="G156" s="86" t="s">
        <v>455</v>
      </c>
      <c r="H156" s="86" t="s">
        <v>691</v>
      </c>
      <c r="I156" s="51" t="s">
        <v>457</v>
      </c>
      <c r="J156" s="51" t="s">
        <v>692</v>
      </c>
      <c r="K156" s="51" t="s">
        <v>692</v>
      </c>
      <c r="L156" s="51">
        <v>228408.24</v>
      </c>
      <c r="M156" s="51">
        <v>17141</v>
      </c>
      <c r="N156" s="51">
        <v>17120.240000000002</v>
      </c>
      <c r="O156" s="51">
        <v>0</v>
      </c>
      <c r="P156" s="51">
        <v>0</v>
      </c>
      <c r="Q156" s="51">
        <v>194147</v>
      </c>
      <c r="R156" s="51">
        <v>0</v>
      </c>
      <c r="S156" s="52" t="s">
        <v>486</v>
      </c>
      <c r="T156" s="52" t="s">
        <v>489</v>
      </c>
      <c r="U156" s="52" t="s">
        <v>491</v>
      </c>
      <c r="V156" s="52">
        <v>2021</v>
      </c>
    </row>
    <row r="157" spans="1:22" s="4" customFormat="1" ht="141.75" customHeight="1" x14ac:dyDescent="0.25">
      <c r="A157" s="49"/>
      <c r="B157" s="51" t="s">
        <v>700</v>
      </c>
      <c r="C157" s="51" t="s">
        <v>703</v>
      </c>
      <c r="D157" s="86" t="s">
        <v>380</v>
      </c>
      <c r="E157" s="86" t="s">
        <v>693</v>
      </c>
      <c r="F157" s="86" t="s">
        <v>690</v>
      </c>
      <c r="G157" s="86" t="s">
        <v>586</v>
      </c>
      <c r="H157" s="86" t="s">
        <v>691</v>
      </c>
      <c r="I157" s="51" t="s">
        <v>457</v>
      </c>
      <c r="J157" s="51" t="s">
        <v>47</v>
      </c>
      <c r="K157" s="51" t="s">
        <v>47</v>
      </c>
      <c r="L157" s="51">
        <v>207636</v>
      </c>
      <c r="M157" s="51">
        <v>15573</v>
      </c>
      <c r="N157" s="51">
        <v>15573</v>
      </c>
      <c r="O157" s="51">
        <v>0</v>
      </c>
      <c r="P157" s="51">
        <v>0</v>
      </c>
      <c r="Q157" s="51">
        <v>176490</v>
      </c>
      <c r="R157" s="51">
        <v>0</v>
      </c>
      <c r="S157" s="52" t="s">
        <v>558</v>
      </c>
      <c r="T157" s="52" t="s">
        <v>475</v>
      </c>
      <c r="U157" s="52" t="s">
        <v>476</v>
      </c>
      <c r="V157" s="52">
        <v>2022</v>
      </c>
    </row>
    <row r="158" spans="1:22" s="4" customFormat="1" ht="80.25" customHeight="1" x14ac:dyDescent="0.25">
      <c r="A158" s="49"/>
      <c r="B158" s="51" t="s">
        <v>701</v>
      </c>
      <c r="C158" s="51" t="s">
        <v>704</v>
      </c>
      <c r="D158" s="86" t="s">
        <v>382</v>
      </c>
      <c r="E158" s="86" t="s">
        <v>694</v>
      </c>
      <c r="F158" s="86" t="s">
        <v>690</v>
      </c>
      <c r="G158" s="86" t="s">
        <v>508</v>
      </c>
      <c r="H158" s="86" t="s">
        <v>691</v>
      </c>
      <c r="I158" s="51" t="s">
        <v>457</v>
      </c>
      <c r="J158" s="51" t="s">
        <v>47</v>
      </c>
      <c r="K158" s="51" t="s">
        <v>47</v>
      </c>
      <c r="L158" s="51">
        <v>291706.14</v>
      </c>
      <c r="M158" s="51">
        <v>21883.84</v>
      </c>
      <c r="N158" s="51">
        <v>21872.09</v>
      </c>
      <c r="O158" s="51">
        <v>0</v>
      </c>
      <c r="P158" s="51">
        <v>0</v>
      </c>
      <c r="Q158" s="51">
        <v>247950.21</v>
      </c>
      <c r="R158" s="51">
        <v>0</v>
      </c>
      <c r="S158" s="52" t="s">
        <v>475</v>
      </c>
      <c r="T158" s="52" t="s">
        <v>487</v>
      </c>
      <c r="U158" s="52" t="s">
        <v>491</v>
      </c>
      <c r="V158" s="52">
        <v>2022</v>
      </c>
    </row>
    <row r="159" spans="1:22" s="4" customFormat="1" ht="150.75" customHeight="1" x14ac:dyDescent="0.25">
      <c r="A159" s="49"/>
      <c r="B159" s="51" t="s">
        <v>383</v>
      </c>
      <c r="C159" s="51" t="s">
        <v>705</v>
      </c>
      <c r="D159" s="86" t="s">
        <v>384</v>
      </c>
      <c r="E159" s="86" t="s">
        <v>695</v>
      </c>
      <c r="F159" s="86" t="s">
        <v>690</v>
      </c>
      <c r="G159" s="86" t="s">
        <v>696</v>
      </c>
      <c r="H159" s="86" t="s">
        <v>691</v>
      </c>
      <c r="I159" s="51" t="s">
        <v>457</v>
      </c>
      <c r="J159" s="51" t="s">
        <v>692</v>
      </c>
      <c r="K159" s="51" t="s">
        <v>692</v>
      </c>
      <c r="L159" s="51">
        <v>140294.17000000001</v>
      </c>
      <c r="M159" s="51">
        <v>10522.07</v>
      </c>
      <c r="N159" s="51">
        <v>10522.06</v>
      </c>
      <c r="O159" s="51">
        <v>0</v>
      </c>
      <c r="P159" s="51">
        <v>0</v>
      </c>
      <c r="Q159" s="51">
        <v>119250.04</v>
      </c>
      <c r="R159" s="51">
        <v>0</v>
      </c>
      <c r="S159" s="52" t="s">
        <v>558</v>
      </c>
      <c r="T159" s="52" t="s">
        <v>475</v>
      </c>
      <c r="U159" s="52" t="s">
        <v>476</v>
      </c>
      <c r="V159" s="52">
        <v>2021</v>
      </c>
    </row>
    <row r="160" spans="1:22" s="4" customFormat="1" ht="80.25" customHeight="1" x14ac:dyDescent="0.25">
      <c r="A160" s="49"/>
      <c r="B160" s="51" t="s">
        <v>385</v>
      </c>
      <c r="C160" s="51" t="s">
        <v>706</v>
      </c>
      <c r="D160" s="86" t="s">
        <v>386</v>
      </c>
      <c r="E160" s="86" t="s">
        <v>697</v>
      </c>
      <c r="F160" s="86" t="s">
        <v>673</v>
      </c>
      <c r="G160" s="86" t="s">
        <v>531</v>
      </c>
      <c r="H160" s="86" t="s">
        <v>691</v>
      </c>
      <c r="I160" s="51" t="s">
        <v>457</v>
      </c>
      <c r="J160" s="51" t="s">
        <v>47</v>
      </c>
      <c r="K160" s="51" t="s">
        <v>47</v>
      </c>
      <c r="L160" s="51">
        <v>46794.12</v>
      </c>
      <c r="M160" s="51">
        <v>3509.56</v>
      </c>
      <c r="N160" s="51">
        <v>3509.56</v>
      </c>
      <c r="O160" s="51">
        <v>0</v>
      </c>
      <c r="P160" s="51">
        <v>0</v>
      </c>
      <c r="Q160" s="51">
        <v>39775</v>
      </c>
      <c r="R160" s="51">
        <v>0</v>
      </c>
      <c r="S160" s="52" t="s">
        <v>475</v>
      </c>
      <c r="T160" s="52" t="s">
        <v>489</v>
      </c>
      <c r="U160" s="52" t="s">
        <v>476</v>
      </c>
      <c r="V160" s="52">
        <v>2020</v>
      </c>
    </row>
    <row r="161" spans="1:24" s="4" customFormat="1" ht="105.75" customHeight="1" x14ac:dyDescent="0.25">
      <c r="A161" s="49"/>
      <c r="B161" s="51" t="s">
        <v>387</v>
      </c>
      <c r="C161" s="51" t="s">
        <v>707</v>
      </c>
      <c r="D161" s="86" t="s">
        <v>388</v>
      </c>
      <c r="E161" s="86" t="s">
        <v>698</v>
      </c>
      <c r="F161" s="86" t="s">
        <v>673</v>
      </c>
      <c r="G161" s="86" t="s">
        <v>679</v>
      </c>
      <c r="H161" s="86" t="s">
        <v>691</v>
      </c>
      <c r="I161" s="51" t="s">
        <v>457</v>
      </c>
      <c r="J161" s="51" t="s">
        <v>47</v>
      </c>
      <c r="K161" s="51" t="s">
        <v>47</v>
      </c>
      <c r="L161" s="51">
        <v>54411.76</v>
      </c>
      <c r="M161" s="51">
        <v>4080.88</v>
      </c>
      <c r="N161" s="51">
        <v>4080.88</v>
      </c>
      <c r="O161" s="51">
        <v>0</v>
      </c>
      <c r="P161" s="51">
        <v>0</v>
      </c>
      <c r="Q161" s="51">
        <v>46250</v>
      </c>
      <c r="R161" s="51">
        <v>0</v>
      </c>
      <c r="S161" s="52" t="s">
        <v>558</v>
      </c>
      <c r="T161" s="52" t="s">
        <v>475</v>
      </c>
      <c r="U161" s="52" t="s">
        <v>487</v>
      </c>
      <c r="V161" s="52">
        <v>2019</v>
      </c>
    </row>
    <row r="162" spans="1:24" s="4" customFormat="1" ht="92.25" customHeight="1" x14ac:dyDescent="0.25">
      <c r="A162" s="49"/>
      <c r="B162" s="29" t="s">
        <v>389</v>
      </c>
      <c r="C162" s="29"/>
      <c r="D162" s="29" t="s">
        <v>390</v>
      </c>
      <c r="E162" s="29"/>
      <c r="F162" s="29"/>
      <c r="G162" s="29"/>
      <c r="H162" s="29"/>
      <c r="I162" s="29"/>
      <c r="J162" s="29"/>
      <c r="K162" s="29"/>
      <c r="L162" s="29"/>
      <c r="M162" s="29"/>
      <c r="N162" s="29"/>
      <c r="O162" s="29"/>
      <c r="P162" s="29"/>
      <c r="Q162" s="29"/>
      <c r="R162" s="29"/>
      <c r="S162" s="29"/>
      <c r="T162" s="29"/>
      <c r="U162" s="29"/>
      <c r="V162" s="29"/>
    </row>
    <row r="163" spans="1:24" s="4" customFormat="1" ht="64.5" customHeight="1" x14ac:dyDescent="0.25">
      <c r="A163" s="49"/>
      <c r="B163" s="60" t="s">
        <v>391</v>
      </c>
      <c r="C163" s="60"/>
      <c r="D163" s="60" t="s">
        <v>392</v>
      </c>
      <c r="E163" s="60"/>
      <c r="F163" s="60"/>
      <c r="G163" s="60"/>
      <c r="H163" s="60"/>
      <c r="I163" s="60"/>
      <c r="J163" s="60"/>
      <c r="K163" s="60"/>
      <c r="L163" s="60"/>
      <c r="M163" s="60"/>
      <c r="N163" s="60"/>
      <c r="O163" s="60"/>
      <c r="P163" s="60"/>
      <c r="Q163" s="60"/>
      <c r="R163" s="60"/>
      <c r="S163" s="60"/>
      <c r="T163" s="60"/>
      <c r="U163" s="60"/>
      <c r="V163" s="60"/>
    </row>
    <row r="164" spans="1:24" s="4" customFormat="1" ht="78.75" customHeight="1" x14ac:dyDescent="0.25">
      <c r="A164" s="49"/>
      <c r="B164" s="51" t="s">
        <v>393</v>
      </c>
      <c r="C164" s="51" t="s">
        <v>711</v>
      </c>
      <c r="D164" s="86" t="s">
        <v>394</v>
      </c>
      <c r="E164" s="86" t="s">
        <v>453</v>
      </c>
      <c r="F164" s="86" t="s">
        <v>708</v>
      </c>
      <c r="G164" s="86" t="s">
        <v>460</v>
      </c>
      <c r="H164" s="86" t="s">
        <v>709</v>
      </c>
      <c r="I164" s="51" t="s">
        <v>457</v>
      </c>
      <c r="J164" s="51" t="s">
        <v>47</v>
      </c>
      <c r="K164" s="51" t="s">
        <v>47</v>
      </c>
      <c r="L164" s="51">
        <v>84698.81</v>
      </c>
      <c r="M164" s="51">
        <v>12704.83</v>
      </c>
      <c r="N164" s="51">
        <v>0</v>
      </c>
      <c r="O164" s="51">
        <v>0</v>
      </c>
      <c r="P164" s="51">
        <v>0</v>
      </c>
      <c r="Q164" s="51">
        <v>71993.98</v>
      </c>
      <c r="R164" s="51">
        <v>0</v>
      </c>
      <c r="S164" s="52" t="s">
        <v>497</v>
      </c>
      <c r="T164" s="52" t="s">
        <v>475</v>
      </c>
      <c r="U164" s="52" t="s">
        <v>476</v>
      </c>
      <c r="V164" s="52">
        <v>2019</v>
      </c>
    </row>
    <row r="165" spans="1:24" s="4" customFormat="1" ht="105.75" customHeight="1" x14ac:dyDescent="0.25">
      <c r="A165" s="49"/>
      <c r="B165" s="51" t="s">
        <v>395</v>
      </c>
      <c r="C165" s="51" t="s">
        <v>712</v>
      </c>
      <c r="D165" s="86" t="s">
        <v>396</v>
      </c>
      <c r="E165" s="86" t="s">
        <v>1013</v>
      </c>
      <c r="F165" s="86" t="s">
        <v>708</v>
      </c>
      <c r="G165" s="86" t="s">
        <v>541</v>
      </c>
      <c r="H165" s="86" t="s">
        <v>709</v>
      </c>
      <c r="I165" s="51" t="s">
        <v>457</v>
      </c>
      <c r="J165" s="51" t="s">
        <v>47</v>
      </c>
      <c r="K165" s="51" t="s">
        <v>47</v>
      </c>
      <c r="L165" s="51">
        <v>70618.14</v>
      </c>
      <c r="M165" s="51">
        <v>10592.73</v>
      </c>
      <c r="N165" s="51">
        <v>0</v>
      </c>
      <c r="O165" s="51">
        <v>0</v>
      </c>
      <c r="P165" s="51">
        <v>0</v>
      </c>
      <c r="Q165" s="51">
        <v>60025.41</v>
      </c>
      <c r="R165" s="51">
        <v>0</v>
      </c>
      <c r="S165" s="52" t="s">
        <v>497</v>
      </c>
      <c r="T165" s="52" t="s">
        <v>486</v>
      </c>
      <c r="U165" s="52" t="s">
        <v>487</v>
      </c>
      <c r="V165" s="52">
        <v>2019</v>
      </c>
    </row>
    <row r="166" spans="1:24" s="4" customFormat="1" ht="82.5" customHeight="1" x14ac:dyDescent="0.25">
      <c r="A166" s="49"/>
      <c r="B166" s="51" t="s">
        <v>397</v>
      </c>
      <c r="C166" s="51" t="s">
        <v>713</v>
      </c>
      <c r="D166" s="86" t="s">
        <v>398</v>
      </c>
      <c r="E166" s="86" t="s">
        <v>710</v>
      </c>
      <c r="F166" s="86" t="s">
        <v>708</v>
      </c>
      <c r="G166" s="86" t="s">
        <v>539</v>
      </c>
      <c r="H166" s="86" t="s">
        <v>709</v>
      </c>
      <c r="I166" s="51" t="s">
        <v>457</v>
      </c>
      <c r="J166" s="51" t="s">
        <v>47</v>
      </c>
      <c r="K166" s="51" t="s">
        <v>47</v>
      </c>
      <c r="L166" s="51">
        <v>50888</v>
      </c>
      <c r="M166" s="51">
        <v>7633.2</v>
      </c>
      <c r="N166" s="51">
        <v>0</v>
      </c>
      <c r="O166" s="51">
        <v>0</v>
      </c>
      <c r="P166" s="51">
        <v>0</v>
      </c>
      <c r="Q166" s="51">
        <v>43254.8</v>
      </c>
      <c r="R166" s="51">
        <v>0</v>
      </c>
      <c r="S166" s="52" t="s">
        <v>510</v>
      </c>
      <c r="T166" s="52" t="s">
        <v>490</v>
      </c>
      <c r="U166" s="52" t="s">
        <v>480</v>
      </c>
      <c r="V166" s="52">
        <v>2018</v>
      </c>
    </row>
    <row r="167" spans="1:24" s="4" customFormat="1" ht="140.25" customHeight="1" x14ac:dyDescent="0.25">
      <c r="A167" s="49"/>
      <c r="B167" s="51" t="s">
        <v>399</v>
      </c>
      <c r="C167" s="51" t="s">
        <v>714</v>
      </c>
      <c r="D167" s="86" t="s">
        <v>400</v>
      </c>
      <c r="E167" s="86" t="s">
        <v>503</v>
      </c>
      <c r="F167" s="86" t="s">
        <v>708</v>
      </c>
      <c r="G167" s="86" t="s">
        <v>679</v>
      </c>
      <c r="H167" s="86" t="s">
        <v>709</v>
      </c>
      <c r="I167" s="51" t="s">
        <v>457</v>
      </c>
      <c r="J167" s="51" t="s">
        <v>458</v>
      </c>
      <c r="K167" s="51" t="s">
        <v>47</v>
      </c>
      <c r="L167" s="51">
        <v>1029164.59</v>
      </c>
      <c r="M167" s="51">
        <v>393690.78</v>
      </c>
      <c r="N167" s="51">
        <v>0</v>
      </c>
      <c r="O167" s="51">
        <v>0</v>
      </c>
      <c r="P167" s="51">
        <v>0</v>
      </c>
      <c r="Q167" s="51">
        <v>635473.81000000006</v>
      </c>
      <c r="R167" s="51">
        <v>0</v>
      </c>
      <c r="S167" s="52" t="s">
        <v>558</v>
      </c>
      <c r="T167" s="52" t="s">
        <v>475</v>
      </c>
      <c r="U167" s="52" t="s">
        <v>476</v>
      </c>
      <c r="V167" s="52">
        <v>2020</v>
      </c>
    </row>
    <row r="168" spans="1:24" s="4" customFormat="1" ht="40.5" customHeight="1" x14ac:dyDescent="0.25">
      <c r="A168" s="49"/>
      <c r="B168" s="60" t="s">
        <v>401</v>
      </c>
      <c r="C168" s="60"/>
      <c r="D168" s="60" t="s">
        <v>402</v>
      </c>
      <c r="E168" s="60"/>
      <c r="F168" s="60"/>
      <c r="G168" s="60"/>
      <c r="H168" s="60"/>
      <c r="I168" s="60"/>
      <c r="J168" s="60"/>
      <c r="K168" s="60"/>
      <c r="L168" s="60"/>
      <c r="M168" s="60"/>
      <c r="N168" s="60"/>
      <c r="O168" s="60"/>
      <c r="P168" s="60"/>
      <c r="Q168" s="60"/>
      <c r="R168" s="60"/>
      <c r="S168" s="60"/>
      <c r="T168" s="60"/>
      <c r="U168" s="60"/>
      <c r="V168" s="60"/>
    </row>
    <row r="169" spans="1:24" s="4" customFormat="1" ht="117" customHeight="1" x14ac:dyDescent="0.25">
      <c r="A169" s="49"/>
      <c r="B169" s="51" t="s">
        <v>403</v>
      </c>
      <c r="C169" s="51" t="s">
        <v>719</v>
      </c>
      <c r="D169" s="42" t="s">
        <v>1045</v>
      </c>
      <c r="E169" s="42" t="s">
        <v>500</v>
      </c>
      <c r="F169" s="42" t="s">
        <v>708</v>
      </c>
      <c r="G169" s="42" t="s">
        <v>501</v>
      </c>
      <c r="H169" s="42" t="s">
        <v>715</v>
      </c>
      <c r="I169" s="51" t="s">
        <v>457</v>
      </c>
      <c r="J169" s="51" t="s">
        <v>458</v>
      </c>
      <c r="K169" s="51" t="s">
        <v>47</v>
      </c>
      <c r="L169" s="51">
        <v>431079.82</v>
      </c>
      <c r="M169" s="51">
        <v>64661.98</v>
      </c>
      <c r="N169" s="51">
        <v>0</v>
      </c>
      <c r="O169" s="51">
        <v>0</v>
      </c>
      <c r="P169" s="51">
        <v>0</v>
      </c>
      <c r="Q169" s="51">
        <v>366417.84</v>
      </c>
      <c r="R169" s="51">
        <v>0</v>
      </c>
      <c r="S169" s="52" t="s">
        <v>573</v>
      </c>
      <c r="T169" s="52" t="s">
        <v>514</v>
      </c>
      <c r="U169" s="52" t="s">
        <v>533</v>
      </c>
      <c r="V169" s="52">
        <v>2020</v>
      </c>
    </row>
    <row r="170" spans="1:24" s="4" customFormat="1" ht="103.5" customHeight="1" x14ac:dyDescent="0.25">
      <c r="A170" s="49"/>
      <c r="B170" s="51" t="s">
        <v>404</v>
      </c>
      <c r="C170" s="51" t="s">
        <v>720</v>
      </c>
      <c r="D170" s="86" t="s">
        <v>716</v>
      </c>
      <c r="E170" s="86" t="s">
        <v>503</v>
      </c>
      <c r="F170" s="86" t="s">
        <v>708</v>
      </c>
      <c r="G170" s="86" t="s">
        <v>543</v>
      </c>
      <c r="H170" s="86" t="s">
        <v>715</v>
      </c>
      <c r="I170" s="51" t="s">
        <v>457</v>
      </c>
      <c r="J170" s="51" t="s">
        <v>458</v>
      </c>
      <c r="K170" s="51" t="s">
        <v>47</v>
      </c>
      <c r="L170" s="51">
        <v>429341.5</v>
      </c>
      <c r="M170" s="51">
        <v>64401.23</v>
      </c>
      <c r="N170" s="51">
        <v>0</v>
      </c>
      <c r="O170" s="51">
        <v>0</v>
      </c>
      <c r="P170" s="51">
        <v>0</v>
      </c>
      <c r="Q170" s="51">
        <v>364940.27</v>
      </c>
      <c r="R170" s="51">
        <v>0</v>
      </c>
      <c r="S170" s="52" t="s">
        <v>717</v>
      </c>
      <c r="T170" s="52" t="s">
        <v>613</v>
      </c>
      <c r="U170" s="52" t="s">
        <v>533</v>
      </c>
      <c r="V170" s="52">
        <v>2019</v>
      </c>
      <c r="W170" s="84"/>
      <c r="X170" s="84"/>
    </row>
    <row r="171" spans="1:24" s="4" customFormat="1" ht="79.5" customHeight="1" x14ac:dyDescent="0.25">
      <c r="A171" s="49"/>
      <c r="B171" s="51" t="s">
        <v>406</v>
      </c>
      <c r="C171" s="51" t="s">
        <v>721</v>
      </c>
      <c r="D171" s="42" t="s">
        <v>407</v>
      </c>
      <c r="E171" s="42" t="s">
        <v>453</v>
      </c>
      <c r="F171" s="42" t="s">
        <v>708</v>
      </c>
      <c r="G171" s="42" t="s">
        <v>460</v>
      </c>
      <c r="H171" s="42" t="s">
        <v>715</v>
      </c>
      <c r="I171" s="51" t="s">
        <v>457</v>
      </c>
      <c r="J171" s="51" t="s">
        <v>47</v>
      </c>
      <c r="K171" s="51" t="s">
        <v>47</v>
      </c>
      <c r="L171" s="51">
        <v>301122.82</v>
      </c>
      <c r="M171" s="51">
        <v>45168.43</v>
      </c>
      <c r="N171" s="51">
        <v>0</v>
      </c>
      <c r="O171" s="51">
        <v>0</v>
      </c>
      <c r="P171" s="51">
        <v>0</v>
      </c>
      <c r="Q171" s="51">
        <v>255954.39</v>
      </c>
      <c r="R171" s="51">
        <v>0</v>
      </c>
      <c r="S171" s="52" t="s">
        <v>717</v>
      </c>
      <c r="T171" s="52" t="s">
        <v>613</v>
      </c>
      <c r="U171" s="52" t="s">
        <v>533</v>
      </c>
      <c r="V171" s="52">
        <v>2019</v>
      </c>
    </row>
    <row r="172" spans="1:24" s="4" customFormat="1" ht="80.25" customHeight="1" x14ac:dyDescent="0.25">
      <c r="A172" s="49"/>
      <c r="B172" s="51" t="s">
        <v>408</v>
      </c>
      <c r="C172" s="51" t="s">
        <v>722</v>
      </c>
      <c r="D172" s="42" t="s">
        <v>409</v>
      </c>
      <c r="E172" s="42" t="s">
        <v>468</v>
      </c>
      <c r="F172" s="42" t="s">
        <v>708</v>
      </c>
      <c r="G172" s="42" t="s">
        <v>469</v>
      </c>
      <c r="H172" s="42" t="s">
        <v>715</v>
      </c>
      <c r="I172" s="51" t="s">
        <v>457</v>
      </c>
      <c r="J172" s="51" t="s">
        <v>47</v>
      </c>
      <c r="K172" s="51" t="s">
        <v>47</v>
      </c>
      <c r="L172" s="51">
        <v>577222.22</v>
      </c>
      <c r="M172" s="51">
        <v>86637.22</v>
      </c>
      <c r="N172" s="51">
        <v>0</v>
      </c>
      <c r="O172" s="51">
        <v>0</v>
      </c>
      <c r="P172" s="51">
        <v>0</v>
      </c>
      <c r="Q172" s="51">
        <v>490585</v>
      </c>
      <c r="R172" s="51">
        <v>0</v>
      </c>
      <c r="S172" s="52" t="s">
        <v>573</v>
      </c>
      <c r="T172" s="52" t="s">
        <v>514</v>
      </c>
      <c r="U172" s="52" t="s">
        <v>533</v>
      </c>
      <c r="V172" s="52">
        <v>2019</v>
      </c>
    </row>
    <row r="173" spans="1:24" s="4" customFormat="1" ht="80.25" customHeight="1" x14ac:dyDescent="0.25">
      <c r="A173" s="49"/>
      <c r="B173" s="51" t="s">
        <v>410</v>
      </c>
      <c r="C173" s="51" t="s">
        <v>723</v>
      </c>
      <c r="D173" s="42" t="s">
        <v>411</v>
      </c>
      <c r="E173" s="42" t="s">
        <v>538</v>
      </c>
      <c r="F173" s="42" t="s">
        <v>708</v>
      </c>
      <c r="G173" s="42" t="s">
        <v>539</v>
      </c>
      <c r="H173" s="42" t="s">
        <v>715</v>
      </c>
      <c r="I173" s="51" t="s">
        <v>457</v>
      </c>
      <c r="J173" s="51" t="s">
        <v>47</v>
      </c>
      <c r="K173" s="51" t="s">
        <v>47</v>
      </c>
      <c r="L173" s="51">
        <v>344844.84</v>
      </c>
      <c r="M173" s="51">
        <v>51726.84</v>
      </c>
      <c r="N173" s="51">
        <v>0</v>
      </c>
      <c r="O173" s="51">
        <v>0</v>
      </c>
      <c r="P173" s="51">
        <v>0</v>
      </c>
      <c r="Q173" s="51">
        <v>293118</v>
      </c>
      <c r="R173" s="51">
        <v>0</v>
      </c>
      <c r="S173" s="52" t="s">
        <v>717</v>
      </c>
      <c r="T173" s="52" t="s">
        <v>718</v>
      </c>
      <c r="U173" s="52" t="s">
        <v>533</v>
      </c>
      <c r="V173" s="52">
        <v>2019</v>
      </c>
    </row>
    <row r="174" spans="1:24" s="4" customFormat="1" ht="81.75" customHeight="1" x14ac:dyDescent="0.25">
      <c r="A174" s="49"/>
      <c r="B174" s="51" t="s">
        <v>412</v>
      </c>
      <c r="C174" s="51" t="s">
        <v>724</v>
      </c>
      <c r="D174" s="42" t="s">
        <v>413</v>
      </c>
      <c r="E174" s="42" t="s">
        <v>507</v>
      </c>
      <c r="F174" s="42" t="s">
        <v>708</v>
      </c>
      <c r="G174" s="42" t="s">
        <v>508</v>
      </c>
      <c r="H174" s="42" t="s">
        <v>715</v>
      </c>
      <c r="I174" s="51" t="s">
        <v>457</v>
      </c>
      <c r="J174" s="51" t="s">
        <v>47</v>
      </c>
      <c r="K174" s="51" t="s">
        <v>47</v>
      </c>
      <c r="L174" s="51">
        <v>498295</v>
      </c>
      <c r="M174" s="51">
        <v>74744.25</v>
      </c>
      <c r="N174" s="51">
        <v>0</v>
      </c>
      <c r="O174" s="51">
        <v>0</v>
      </c>
      <c r="P174" s="51">
        <v>0</v>
      </c>
      <c r="Q174" s="51">
        <v>423550.75</v>
      </c>
      <c r="R174" s="51">
        <v>0</v>
      </c>
      <c r="S174" s="52" t="s">
        <v>573</v>
      </c>
      <c r="T174" s="52" t="s">
        <v>613</v>
      </c>
      <c r="U174" s="52" t="s">
        <v>510</v>
      </c>
      <c r="V174" s="52">
        <v>2019</v>
      </c>
    </row>
    <row r="175" spans="1:24" s="4" customFormat="1" ht="57.75" customHeight="1" x14ac:dyDescent="0.25">
      <c r="A175" s="49"/>
      <c r="B175" s="29" t="s">
        <v>414</v>
      </c>
      <c r="C175" s="29"/>
      <c r="D175" s="29" t="s">
        <v>415</v>
      </c>
      <c r="E175" s="29"/>
      <c r="F175" s="29"/>
      <c r="G175" s="29"/>
      <c r="H175" s="29"/>
      <c r="I175" s="29"/>
      <c r="J175" s="29"/>
      <c r="K175" s="29"/>
      <c r="L175" s="29"/>
      <c r="M175" s="29"/>
      <c r="N175" s="29"/>
      <c r="O175" s="29"/>
      <c r="P175" s="29"/>
      <c r="Q175" s="29"/>
      <c r="R175" s="29"/>
      <c r="S175" s="29"/>
      <c r="T175" s="29"/>
      <c r="U175" s="29"/>
      <c r="V175" s="29"/>
    </row>
    <row r="176" spans="1:24" s="4" customFormat="1" ht="66" customHeight="1" x14ac:dyDescent="0.25">
      <c r="A176" s="49"/>
      <c r="B176" s="60" t="s">
        <v>416</v>
      </c>
      <c r="C176" s="60"/>
      <c r="D176" s="60" t="s">
        <v>417</v>
      </c>
      <c r="E176" s="60"/>
      <c r="F176" s="60"/>
      <c r="G176" s="60"/>
      <c r="H176" s="60"/>
      <c r="I176" s="60"/>
      <c r="J176" s="60"/>
      <c r="K176" s="60"/>
      <c r="L176" s="60"/>
      <c r="M176" s="113"/>
      <c r="N176" s="60"/>
      <c r="O176" s="60"/>
      <c r="P176" s="60"/>
      <c r="Q176" s="60"/>
      <c r="R176" s="60"/>
      <c r="S176" s="60"/>
      <c r="T176" s="60"/>
      <c r="U176" s="60"/>
      <c r="V176" s="60"/>
    </row>
    <row r="177" spans="1:22" s="4" customFormat="1" ht="102.75" customHeight="1" x14ac:dyDescent="0.25">
      <c r="A177" s="49"/>
      <c r="B177" s="51" t="s">
        <v>418</v>
      </c>
      <c r="C177" s="51" t="s">
        <v>736</v>
      </c>
      <c r="D177" s="86" t="s">
        <v>419</v>
      </c>
      <c r="E177" s="86" t="s">
        <v>500</v>
      </c>
      <c r="F177" s="86" t="s">
        <v>579</v>
      </c>
      <c r="G177" s="86" t="s">
        <v>501</v>
      </c>
      <c r="H177" s="86" t="s">
        <v>725</v>
      </c>
      <c r="I177" s="51" t="s">
        <v>457</v>
      </c>
      <c r="J177" s="51" t="s">
        <v>458</v>
      </c>
      <c r="K177" s="51" t="s">
        <v>47</v>
      </c>
      <c r="L177" s="51">
        <v>70588</v>
      </c>
      <c r="M177" s="62">
        <v>10588.2</v>
      </c>
      <c r="N177" s="51">
        <v>0</v>
      </c>
      <c r="O177" s="51">
        <v>0</v>
      </c>
      <c r="P177" s="51">
        <v>0</v>
      </c>
      <c r="Q177" s="62">
        <v>59999.8</v>
      </c>
      <c r="R177" s="51">
        <v>0</v>
      </c>
      <c r="S177" s="52" t="s">
        <v>483</v>
      </c>
      <c r="T177" s="52" t="s">
        <v>483</v>
      </c>
      <c r="U177" s="52" t="s">
        <v>511</v>
      </c>
      <c r="V177" s="52">
        <v>2018</v>
      </c>
    </row>
    <row r="178" spans="1:22" s="4" customFormat="1" ht="127.5" customHeight="1" x14ac:dyDescent="0.25">
      <c r="A178" s="49"/>
      <c r="B178" s="51" t="s">
        <v>734</v>
      </c>
      <c r="C178" s="51" t="s">
        <v>737</v>
      </c>
      <c r="D178" s="42" t="s">
        <v>726</v>
      </c>
      <c r="E178" s="42" t="s">
        <v>727</v>
      </c>
      <c r="F178" s="42" t="s">
        <v>579</v>
      </c>
      <c r="G178" s="42" t="s">
        <v>539</v>
      </c>
      <c r="H178" s="42" t="s">
        <v>725</v>
      </c>
      <c r="I178" s="51" t="s">
        <v>457</v>
      </c>
      <c r="J178" s="51" t="s">
        <v>458</v>
      </c>
      <c r="K178" s="51" t="s">
        <v>47</v>
      </c>
      <c r="L178" s="51">
        <v>589242.18000000005</v>
      </c>
      <c r="M178" s="51">
        <v>148249.18</v>
      </c>
      <c r="N178" s="51">
        <v>0</v>
      </c>
      <c r="O178" s="51">
        <v>0</v>
      </c>
      <c r="P178" s="51">
        <v>20993</v>
      </c>
      <c r="Q178" s="51">
        <v>420000</v>
      </c>
      <c r="R178" s="51">
        <v>0</v>
      </c>
      <c r="S178" s="52" t="s">
        <v>483</v>
      </c>
      <c r="T178" s="52" t="s">
        <v>490</v>
      </c>
      <c r="U178" s="52" t="s">
        <v>493</v>
      </c>
      <c r="V178" s="52">
        <v>2019</v>
      </c>
    </row>
    <row r="179" spans="1:22" s="4" customFormat="1" ht="93.75" customHeight="1" x14ac:dyDescent="0.25">
      <c r="A179" s="49"/>
      <c r="B179" s="51" t="s">
        <v>422</v>
      </c>
      <c r="C179" s="51" t="s">
        <v>738</v>
      </c>
      <c r="D179" s="86" t="s">
        <v>423</v>
      </c>
      <c r="E179" s="86" t="s">
        <v>468</v>
      </c>
      <c r="F179" s="86" t="s">
        <v>579</v>
      </c>
      <c r="G179" s="86" t="s">
        <v>469</v>
      </c>
      <c r="H179" s="86" t="s">
        <v>725</v>
      </c>
      <c r="I179" s="51" t="s">
        <v>457</v>
      </c>
      <c r="J179" s="51" t="s">
        <v>458</v>
      </c>
      <c r="K179" s="51" t="s">
        <v>47</v>
      </c>
      <c r="L179" s="51" t="s">
        <v>728</v>
      </c>
      <c r="M179" s="51">
        <v>39588.44</v>
      </c>
      <c r="N179" s="51">
        <v>0</v>
      </c>
      <c r="O179" s="51">
        <v>0</v>
      </c>
      <c r="P179" s="51">
        <v>0</v>
      </c>
      <c r="Q179" s="51">
        <v>224334.44</v>
      </c>
      <c r="R179" s="51">
        <v>0</v>
      </c>
      <c r="S179" s="52" t="s">
        <v>533</v>
      </c>
      <c r="T179" s="52" t="s">
        <v>483</v>
      </c>
      <c r="U179" s="52" t="s">
        <v>511</v>
      </c>
      <c r="V179" s="52">
        <v>2018</v>
      </c>
    </row>
    <row r="180" spans="1:22" s="4" customFormat="1" ht="164.25" customHeight="1" x14ac:dyDescent="0.25">
      <c r="A180" s="49"/>
      <c r="B180" s="51" t="s">
        <v>424</v>
      </c>
      <c r="C180" s="51" t="s">
        <v>739</v>
      </c>
      <c r="D180" s="86" t="s">
        <v>425</v>
      </c>
      <c r="E180" s="86" t="s">
        <v>729</v>
      </c>
      <c r="F180" s="86" t="s">
        <v>579</v>
      </c>
      <c r="G180" s="86" t="s">
        <v>543</v>
      </c>
      <c r="H180" s="86" t="s">
        <v>725</v>
      </c>
      <c r="I180" s="51" t="s">
        <v>457</v>
      </c>
      <c r="J180" s="51" t="s">
        <v>458</v>
      </c>
      <c r="K180" s="51" t="s">
        <v>47</v>
      </c>
      <c r="L180" s="51">
        <v>797588.28</v>
      </c>
      <c r="M180" s="51">
        <v>160734.60999999999</v>
      </c>
      <c r="N180" s="51">
        <v>0</v>
      </c>
      <c r="O180" s="51">
        <v>0</v>
      </c>
      <c r="P180" s="51">
        <v>0</v>
      </c>
      <c r="Q180" s="51">
        <v>636853.66999999993</v>
      </c>
      <c r="R180" s="51">
        <v>0</v>
      </c>
      <c r="S180" s="52" t="s">
        <v>495</v>
      </c>
      <c r="T180" s="52" t="s">
        <v>479</v>
      </c>
      <c r="U180" s="52" t="s">
        <v>496</v>
      </c>
      <c r="V180" s="52">
        <v>2018</v>
      </c>
    </row>
    <row r="181" spans="1:22" s="4" customFormat="1" ht="72.75" customHeight="1" x14ac:dyDescent="0.25">
      <c r="A181" s="49"/>
      <c r="B181" s="51" t="s">
        <v>735</v>
      </c>
      <c r="C181" s="51" t="s">
        <v>740</v>
      </c>
      <c r="D181" s="86" t="s">
        <v>427</v>
      </c>
      <c r="E181" s="86" t="s">
        <v>730</v>
      </c>
      <c r="F181" s="86" t="s">
        <v>579</v>
      </c>
      <c r="G181" s="86" t="s">
        <v>731</v>
      </c>
      <c r="H181" s="86" t="s">
        <v>725</v>
      </c>
      <c r="I181" s="51" t="s">
        <v>457</v>
      </c>
      <c r="J181" s="51" t="s">
        <v>458</v>
      </c>
      <c r="K181" s="51" t="s">
        <v>47</v>
      </c>
      <c r="L181" s="51">
        <v>4000000</v>
      </c>
      <c r="M181" s="51">
        <v>0</v>
      </c>
      <c r="N181" s="51">
        <v>600000</v>
      </c>
      <c r="O181" s="51">
        <v>0</v>
      </c>
      <c r="P181" s="51">
        <v>0</v>
      </c>
      <c r="Q181" s="51">
        <v>3400000</v>
      </c>
      <c r="R181" s="51">
        <v>0</v>
      </c>
      <c r="S181" s="52" t="s">
        <v>546</v>
      </c>
      <c r="T181" s="52" t="s">
        <v>559</v>
      </c>
      <c r="U181" s="52" t="s">
        <v>497</v>
      </c>
      <c r="V181" s="52">
        <v>2019</v>
      </c>
    </row>
    <row r="182" spans="1:22" s="4" customFormat="1" ht="69" customHeight="1" x14ac:dyDescent="0.25">
      <c r="A182" s="49"/>
      <c r="B182" s="51" t="s">
        <v>428</v>
      </c>
      <c r="C182" s="51" t="s">
        <v>741</v>
      </c>
      <c r="D182" s="42" t="s">
        <v>429</v>
      </c>
      <c r="E182" s="42" t="s">
        <v>732</v>
      </c>
      <c r="F182" s="42" t="s">
        <v>579</v>
      </c>
      <c r="G182" s="42" t="s">
        <v>508</v>
      </c>
      <c r="H182" s="42" t="s">
        <v>733</v>
      </c>
      <c r="I182" s="51" t="s">
        <v>457</v>
      </c>
      <c r="J182" s="51" t="s">
        <v>458</v>
      </c>
      <c r="K182" s="51" t="s">
        <v>47</v>
      </c>
      <c r="L182" s="51">
        <v>30195</v>
      </c>
      <c r="M182" s="51">
        <v>4530</v>
      </c>
      <c r="N182" s="51">
        <v>0</v>
      </c>
      <c r="O182" s="51">
        <v>0</v>
      </c>
      <c r="P182" s="51">
        <v>0</v>
      </c>
      <c r="Q182" s="51">
        <v>25665</v>
      </c>
      <c r="R182" s="51">
        <v>0</v>
      </c>
      <c r="S182" s="52" t="s">
        <v>497</v>
      </c>
      <c r="T182" s="52" t="s">
        <v>497</v>
      </c>
      <c r="U182" s="52" t="s">
        <v>489</v>
      </c>
      <c r="V182" s="52">
        <v>2019</v>
      </c>
    </row>
    <row r="183" spans="1:22" s="4" customFormat="1" ht="52.5" customHeight="1" x14ac:dyDescent="0.25">
      <c r="A183" s="49"/>
      <c r="B183" s="29" t="s">
        <v>430</v>
      </c>
      <c r="C183" s="29"/>
      <c r="D183" s="29" t="s">
        <v>431</v>
      </c>
      <c r="E183" s="29"/>
      <c r="F183" s="29"/>
      <c r="G183" s="29"/>
      <c r="H183" s="29"/>
      <c r="I183" s="29"/>
      <c r="J183" s="29"/>
      <c r="K183" s="29"/>
      <c r="L183" s="29"/>
      <c r="M183" s="29"/>
      <c r="N183" s="29"/>
      <c r="O183" s="29"/>
      <c r="P183" s="29"/>
      <c r="Q183" s="29"/>
      <c r="R183" s="29"/>
      <c r="S183" s="29"/>
      <c r="T183" s="29"/>
      <c r="U183" s="29"/>
      <c r="V183" s="29"/>
    </row>
    <row r="184" spans="1:22" s="4" customFormat="1" ht="76.5" customHeight="1" x14ac:dyDescent="0.25">
      <c r="A184" s="49"/>
      <c r="B184" s="60" t="s">
        <v>432</v>
      </c>
      <c r="C184" s="60"/>
      <c r="D184" s="60" t="s">
        <v>433</v>
      </c>
      <c r="E184" s="60"/>
      <c r="F184" s="60"/>
      <c r="G184" s="60"/>
      <c r="H184" s="60"/>
      <c r="I184" s="60"/>
      <c r="J184" s="60"/>
      <c r="K184" s="60"/>
      <c r="L184" s="60"/>
      <c r="M184" s="60"/>
      <c r="N184" s="60"/>
      <c r="O184" s="60"/>
      <c r="P184" s="60"/>
      <c r="Q184" s="60"/>
      <c r="R184" s="60"/>
      <c r="S184" s="60"/>
      <c r="T184" s="60"/>
      <c r="U184" s="60"/>
      <c r="V184" s="60"/>
    </row>
    <row r="185" spans="1:22" s="4" customFormat="1" ht="81" customHeight="1" x14ac:dyDescent="0.25">
      <c r="A185" s="49"/>
      <c r="B185" s="51" t="s">
        <v>434</v>
      </c>
      <c r="C185" s="51" t="s">
        <v>755</v>
      </c>
      <c r="D185" s="42" t="s">
        <v>435</v>
      </c>
      <c r="E185" s="42" t="s">
        <v>503</v>
      </c>
      <c r="F185" s="42" t="s">
        <v>454</v>
      </c>
      <c r="G185" s="42" t="s">
        <v>742</v>
      </c>
      <c r="H185" s="42" t="s">
        <v>743</v>
      </c>
      <c r="I185" s="51" t="s">
        <v>457</v>
      </c>
      <c r="J185" s="51" t="s">
        <v>47</v>
      </c>
      <c r="K185" s="51" t="s">
        <v>47</v>
      </c>
      <c r="L185" s="51">
        <v>188236</v>
      </c>
      <c r="M185" s="51">
        <v>28236</v>
      </c>
      <c r="N185" s="51">
        <v>0</v>
      </c>
      <c r="O185" s="51">
        <v>0</v>
      </c>
      <c r="P185" s="51">
        <v>0</v>
      </c>
      <c r="Q185" s="51">
        <v>160000</v>
      </c>
      <c r="R185" s="51">
        <v>0</v>
      </c>
      <c r="S185" s="52" t="s">
        <v>546</v>
      </c>
      <c r="T185" s="52" t="s">
        <v>559</v>
      </c>
      <c r="U185" s="52" t="s">
        <v>486</v>
      </c>
      <c r="V185" s="52">
        <v>2021</v>
      </c>
    </row>
    <row r="186" spans="1:22" s="4" customFormat="1" ht="80.25" customHeight="1" x14ac:dyDescent="0.25">
      <c r="A186" s="49"/>
      <c r="B186" s="51" t="s">
        <v>436</v>
      </c>
      <c r="C186" s="51" t="s">
        <v>756</v>
      </c>
      <c r="D186" s="42" t="s">
        <v>437</v>
      </c>
      <c r="E186" s="42" t="s">
        <v>468</v>
      </c>
      <c r="F186" s="42" t="s">
        <v>454</v>
      </c>
      <c r="G186" s="42" t="s">
        <v>469</v>
      </c>
      <c r="H186" s="42" t="s">
        <v>743</v>
      </c>
      <c r="I186" s="51" t="s">
        <v>457</v>
      </c>
      <c r="J186" s="51" t="s">
        <v>47</v>
      </c>
      <c r="K186" s="51" t="s">
        <v>47</v>
      </c>
      <c r="L186" s="51">
        <v>186665</v>
      </c>
      <c r="M186" s="51">
        <v>28000</v>
      </c>
      <c r="N186" s="51">
        <v>0</v>
      </c>
      <c r="O186" s="51">
        <v>0</v>
      </c>
      <c r="P186" s="51">
        <v>0</v>
      </c>
      <c r="Q186" s="51">
        <v>158665</v>
      </c>
      <c r="R186" s="51">
        <v>0</v>
      </c>
      <c r="S186" s="52" t="s">
        <v>546</v>
      </c>
      <c r="T186" s="52" t="s">
        <v>558</v>
      </c>
      <c r="U186" s="52" t="s">
        <v>489</v>
      </c>
      <c r="V186" s="52">
        <v>2020</v>
      </c>
    </row>
    <row r="187" spans="1:22" s="4" customFormat="1" ht="81" customHeight="1" x14ac:dyDescent="0.25">
      <c r="A187" s="49"/>
      <c r="B187" s="51" t="s">
        <v>752</v>
      </c>
      <c r="C187" s="51" t="s">
        <v>757</v>
      </c>
      <c r="D187" s="42" t="s">
        <v>439</v>
      </c>
      <c r="E187" s="42" t="s">
        <v>538</v>
      </c>
      <c r="F187" s="42" t="s">
        <v>454</v>
      </c>
      <c r="G187" s="42" t="s">
        <v>539</v>
      </c>
      <c r="H187" s="42" t="s">
        <v>743</v>
      </c>
      <c r="I187" s="51" t="s">
        <v>457</v>
      </c>
      <c r="J187" s="51" t="s">
        <v>47</v>
      </c>
      <c r="K187" s="51" t="s">
        <v>47</v>
      </c>
      <c r="L187" s="51">
        <v>154414.51999999999</v>
      </c>
      <c r="M187" s="51">
        <v>23162.18</v>
      </c>
      <c r="N187" s="51">
        <v>0</v>
      </c>
      <c r="O187" s="51">
        <v>0</v>
      </c>
      <c r="P187" s="51">
        <v>0</v>
      </c>
      <c r="Q187" s="51">
        <v>131252.34</v>
      </c>
      <c r="R187" s="51">
        <v>0</v>
      </c>
      <c r="S187" s="52" t="s">
        <v>478</v>
      </c>
      <c r="T187" s="52" t="s">
        <v>559</v>
      </c>
      <c r="U187" s="52" t="s">
        <v>486</v>
      </c>
      <c r="V187" s="52">
        <v>2020</v>
      </c>
    </row>
    <row r="188" spans="1:22" s="4" customFormat="1" ht="92.25" customHeight="1" x14ac:dyDescent="0.25">
      <c r="A188" s="49"/>
      <c r="B188" s="51" t="s">
        <v>440</v>
      </c>
      <c r="C188" s="51" t="s">
        <v>758</v>
      </c>
      <c r="D188" s="42" t="s">
        <v>441</v>
      </c>
      <c r="E188" s="42" t="s">
        <v>744</v>
      </c>
      <c r="F188" s="42" t="s">
        <v>454</v>
      </c>
      <c r="G188" s="42" t="s">
        <v>508</v>
      </c>
      <c r="H188" s="42" t="s">
        <v>745</v>
      </c>
      <c r="I188" s="51" t="s">
        <v>457</v>
      </c>
      <c r="J188" s="51" t="s">
        <v>47</v>
      </c>
      <c r="K188" s="51" t="s">
        <v>47</v>
      </c>
      <c r="L188" s="51">
        <v>116373.51</v>
      </c>
      <c r="M188" s="51">
        <v>17529.16</v>
      </c>
      <c r="N188" s="51">
        <v>0</v>
      </c>
      <c r="O188" s="51">
        <v>0</v>
      </c>
      <c r="P188" s="51">
        <v>0</v>
      </c>
      <c r="Q188" s="51">
        <v>98844.35</v>
      </c>
      <c r="R188" s="51">
        <v>0</v>
      </c>
      <c r="S188" s="52" t="s">
        <v>497</v>
      </c>
      <c r="T188" s="52" t="s">
        <v>558</v>
      </c>
      <c r="U188" s="52" t="s">
        <v>475</v>
      </c>
      <c r="V188" s="52">
        <v>2019</v>
      </c>
    </row>
    <row r="189" spans="1:22" s="4" customFormat="1" ht="77.25" customHeight="1" x14ac:dyDescent="0.25">
      <c r="A189" s="49"/>
      <c r="B189" s="51" t="s">
        <v>753</v>
      </c>
      <c r="C189" s="51" t="s">
        <v>759</v>
      </c>
      <c r="D189" s="42" t="s">
        <v>443</v>
      </c>
      <c r="E189" s="42" t="s">
        <v>453</v>
      </c>
      <c r="F189" s="42" t="s">
        <v>454</v>
      </c>
      <c r="G189" s="42" t="s">
        <v>746</v>
      </c>
      <c r="H189" s="42" t="s">
        <v>745</v>
      </c>
      <c r="I189" s="51" t="s">
        <v>457</v>
      </c>
      <c r="J189" s="51" t="s">
        <v>47</v>
      </c>
      <c r="K189" s="51" t="s">
        <v>47</v>
      </c>
      <c r="L189" s="51">
        <v>176470.59</v>
      </c>
      <c r="M189" s="51">
        <v>26470.59</v>
      </c>
      <c r="N189" s="51">
        <v>0</v>
      </c>
      <c r="O189" s="51">
        <v>0</v>
      </c>
      <c r="P189" s="51">
        <v>0</v>
      </c>
      <c r="Q189" s="51">
        <v>150000</v>
      </c>
      <c r="R189" s="51">
        <v>0</v>
      </c>
      <c r="S189" s="52" t="s">
        <v>546</v>
      </c>
      <c r="T189" s="52" t="s">
        <v>747</v>
      </c>
      <c r="U189" s="52" t="s">
        <v>748</v>
      </c>
      <c r="V189" s="52">
        <v>2020</v>
      </c>
    </row>
    <row r="190" spans="1:22" s="84" customFormat="1" ht="81.75" customHeight="1" x14ac:dyDescent="0.25">
      <c r="A190" s="95"/>
      <c r="B190" s="51" t="s">
        <v>754</v>
      </c>
      <c r="C190" s="51" t="s">
        <v>760</v>
      </c>
      <c r="D190" s="86" t="s">
        <v>445</v>
      </c>
      <c r="E190" s="86" t="s">
        <v>500</v>
      </c>
      <c r="F190" s="86" t="s">
        <v>454</v>
      </c>
      <c r="G190" s="86" t="s">
        <v>531</v>
      </c>
      <c r="H190" s="86" t="s">
        <v>745</v>
      </c>
      <c r="I190" s="51" t="s">
        <v>457</v>
      </c>
      <c r="J190" s="51" t="s">
        <v>47</v>
      </c>
      <c r="K190" s="51" t="s">
        <v>47</v>
      </c>
      <c r="L190" s="51">
        <v>157956.47</v>
      </c>
      <c r="M190" s="51">
        <v>23693.48</v>
      </c>
      <c r="N190" s="51">
        <v>0</v>
      </c>
      <c r="O190" s="51">
        <v>0</v>
      </c>
      <c r="P190" s="51">
        <v>0</v>
      </c>
      <c r="Q190" s="51">
        <v>134262.99</v>
      </c>
      <c r="R190" s="51">
        <v>0</v>
      </c>
      <c r="S190" s="52" t="s">
        <v>559</v>
      </c>
      <c r="T190" s="52" t="s">
        <v>544</v>
      </c>
      <c r="U190" s="52" t="s">
        <v>988</v>
      </c>
      <c r="V190" s="52">
        <v>2021</v>
      </c>
    </row>
    <row r="191" spans="1:22" s="4" customFormat="1" ht="86.25" customHeight="1" x14ac:dyDescent="0.25">
      <c r="A191" s="49"/>
      <c r="B191" s="51" t="s">
        <v>446</v>
      </c>
      <c r="C191" s="51" t="s">
        <v>761</v>
      </c>
      <c r="D191" s="42" t="s">
        <v>447</v>
      </c>
      <c r="E191" s="42" t="s">
        <v>744</v>
      </c>
      <c r="F191" s="42" t="s">
        <v>454</v>
      </c>
      <c r="G191" s="42" t="s">
        <v>508</v>
      </c>
      <c r="H191" s="42" t="s">
        <v>745</v>
      </c>
      <c r="I191" s="51" t="s">
        <v>457</v>
      </c>
      <c r="J191" s="51" t="s">
        <v>47</v>
      </c>
      <c r="K191" s="51" t="s">
        <v>47</v>
      </c>
      <c r="L191" s="51">
        <v>70000</v>
      </c>
      <c r="M191" s="51">
        <v>10500</v>
      </c>
      <c r="N191" s="51">
        <v>0</v>
      </c>
      <c r="O191" s="51">
        <v>0</v>
      </c>
      <c r="P191" s="51">
        <v>0</v>
      </c>
      <c r="Q191" s="51">
        <v>59500</v>
      </c>
      <c r="R191" s="51">
        <v>0</v>
      </c>
      <c r="S191" s="52" t="s">
        <v>749</v>
      </c>
      <c r="T191" s="52" t="s">
        <v>750</v>
      </c>
      <c r="U191" s="52" t="s">
        <v>751</v>
      </c>
      <c r="V191" s="52">
        <v>2020</v>
      </c>
    </row>
    <row r="192" spans="1:22" x14ac:dyDescent="0.25">
      <c r="A192" s="49"/>
      <c r="B192" s="114" t="s">
        <v>147</v>
      </c>
      <c r="C192" s="49"/>
      <c r="D192" s="49"/>
      <c r="E192" s="49"/>
      <c r="F192" s="49"/>
      <c r="G192" s="49"/>
      <c r="H192" s="49"/>
      <c r="I192" s="49"/>
      <c r="J192" s="49"/>
      <c r="K192" s="49"/>
      <c r="L192" s="49"/>
      <c r="M192" s="49"/>
      <c r="N192" s="49"/>
      <c r="O192" s="49"/>
      <c r="P192" s="49"/>
      <c r="Q192" s="49"/>
      <c r="R192" s="49"/>
      <c r="S192" s="49"/>
      <c r="T192" s="49"/>
      <c r="U192" s="49"/>
      <c r="V192" s="49"/>
    </row>
    <row r="193" spans="1:22" x14ac:dyDescent="0.25">
      <c r="A193" s="49"/>
      <c r="B193" s="114" t="s">
        <v>55</v>
      </c>
      <c r="C193" s="49"/>
      <c r="D193" s="49"/>
      <c r="E193" s="49"/>
      <c r="F193" s="49"/>
      <c r="G193" s="49"/>
      <c r="H193" s="49"/>
      <c r="I193" s="49"/>
      <c r="J193" s="49"/>
      <c r="K193" s="49"/>
      <c r="L193" s="49"/>
      <c r="M193" s="49"/>
      <c r="N193" s="49"/>
      <c r="O193" s="49"/>
      <c r="P193" s="49"/>
      <c r="Q193" s="49"/>
      <c r="R193" s="49"/>
      <c r="S193" s="49"/>
      <c r="T193" s="49"/>
      <c r="U193" s="49"/>
      <c r="V193" s="49"/>
    </row>
    <row r="194" spans="1:22" x14ac:dyDescent="0.25">
      <c r="A194" s="49"/>
      <c r="B194" s="114" t="s">
        <v>56</v>
      </c>
      <c r="C194" s="49"/>
      <c r="D194" s="49"/>
      <c r="E194" s="49"/>
      <c r="F194" s="49"/>
      <c r="G194" s="49"/>
      <c r="H194" s="49"/>
      <c r="I194" s="49"/>
      <c r="J194" s="49"/>
      <c r="K194" s="49"/>
      <c r="L194" s="49"/>
      <c r="M194" s="49"/>
      <c r="N194" s="49"/>
      <c r="O194" s="49"/>
      <c r="P194" s="49"/>
      <c r="Q194" s="49"/>
      <c r="R194" s="49"/>
      <c r="S194" s="49"/>
      <c r="T194" s="49"/>
      <c r="U194" s="49"/>
      <c r="V194" s="49"/>
    </row>
    <row r="195" spans="1:22" ht="45.75" customHeight="1" x14ac:dyDescent="0.25">
      <c r="A195" s="49"/>
      <c r="B195" s="185" t="s">
        <v>142</v>
      </c>
      <c r="C195" s="185"/>
      <c r="D195" s="185"/>
      <c r="E195" s="185"/>
      <c r="F195" s="185"/>
      <c r="G195" s="185"/>
      <c r="H195" s="185"/>
      <c r="I195" s="185"/>
      <c r="J195" s="185"/>
      <c r="K195" s="185"/>
      <c r="L195" s="185"/>
      <c r="M195" s="185"/>
      <c r="N195" s="185"/>
      <c r="O195" s="185"/>
      <c r="P195" s="185"/>
      <c r="Q195" s="185"/>
      <c r="R195" s="185"/>
      <c r="S195" s="185"/>
      <c r="T195" s="185"/>
      <c r="U195" s="185"/>
      <c r="V195" s="185"/>
    </row>
    <row r="204" spans="1:22" ht="28.5" customHeight="1" x14ac:dyDescent="0.25"/>
  </sheetData>
  <autoFilter ref="A6:V195"/>
  <mergeCells count="7">
    <mergeCell ref="B195:V195"/>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5"/>
  <sheetViews>
    <sheetView zoomScale="90" zoomScaleNormal="90" workbookViewId="0">
      <pane ySplit="1" topLeftCell="A104" activePane="bottomLeft" state="frozen"/>
      <selection pane="bottomLeft" activeCell="K114" sqref="K114"/>
    </sheetView>
  </sheetViews>
  <sheetFormatPr defaultRowHeight="15" x14ac:dyDescent="0.25"/>
  <cols>
    <col min="1" max="1" width="4.42578125" style="4"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3" max="23" width="9.140625" style="49"/>
    <col min="24" max="24" width="9.140625" style="49" customWidth="1"/>
    <col min="25" max="25" width="14.7109375" style="49" customWidth="1"/>
    <col min="26" max="30" width="9.140625" style="49" customWidth="1"/>
    <col min="31" max="31" width="12.85546875" style="49" customWidth="1"/>
    <col min="32" max="34" width="9.140625" style="49"/>
  </cols>
  <sheetData>
    <row r="1" spans="2:34" ht="15.75" x14ac:dyDescent="0.25">
      <c r="T1" s="190" t="s">
        <v>141</v>
      </c>
      <c r="U1" s="190"/>
      <c r="V1" s="190"/>
      <c r="W1" s="190"/>
    </row>
    <row r="2" spans="2:34" ht="15.75" x14ac:dyDescent="0.25">
      <c r="T2" s="191" t="s">
        <v>24</v>
      </c>
      <c r="U2" s="191"/>
      <c r="V2" s="191"/>
      <c r="W2" s="191"/>
    </row>
    <row r="3" spans="2:34" s="4" customFormat="1" ht="15.75" x14ac:dyDescent="0.25">
      <c r="T3" s="191" t="s">
        <v>25</v>
      </c>
      <c r="U3" s="191"/>
      <c r="V3" s="191"/>
      <c r="W3" s="191"/>
      <c r="X3" s="49"/>
      <c r="Y3" s="49"/>
      <c r="Z3" s="49"/>
      <c r="AA3" s="49"/>
      <c r="AB3" s="49"/>
      <c r="AC3" s="49"/>
      <c r="AD3" s="49"/>
      <c r="AE3" s="49"/>
      <c r="AF3" s="49"/>
      <c r="AG3" s="49"/>
      <c r="AH3" s="49"/>
    </row>
    <row r="5" spans="2:34" ht="15.75" x14ac:dyDescent="0.25">
      <c r="B5" s="1" t="s">
        <v>57</v>
      </c>
      <c r="C5" s="4"/>
      <c r="D5" s="4"/>
      <c r="E5" s="4"/>
      <c r="F5" s="4"/>
      <c r="G5" s="4"/>
      <c r="H5" s="4"/>
      <c r="I5" s="4"/>
      <c r="J5" s="4"/>
      <c r="K5" s="4"/>
      <c r="L5" s="4"/>
      <c r="M5" s="4"/>
      <c r="N5" s="4"/>
      <c r="O5" s="4"/>
      <c r="P5" s="4"/>
      <c r="Q5" s="4"/>
      <c r="R5" s="4"/>
      <c r="S5" s="4"/>
      <c r="T5" s="4"/>
      <c r="U5" s="4"/>
      <c r="V5" s="4"/>
    </row>
    <row r="6" spans="2:34" x14ac:dyDescent="0.25">
      <c r="B6" s="194" t="s">
        <v>27</v>
      </c>
      <c r="C6" s="194"/>
      <c r="D6" s="194"/>
      <c r="E6" s="194"/>
      <c r="F6" s="194"/>
      <c r="G6" s="194"/>
      <c r="H6" s="194"/>
      <c r="I6" s="194"/>
      <c r="J6" s="194"/>
      <c r="K6" s="194"/>
      <c r="L6" s="194" t="s">
        <v>58</v>
      </c>
      <c r="M6" s="194"/>
      <c r="N6" s="194"/>
      <c r="O6" s="194"/>
      <c r="P6" s="194"/>
      <c r="Q6" s="194"/>
      <c r="R6" s="194"/>
      <c r="S6" s="194"/>
      <c r="T6" s="194"/>
      <c r="U6" s="194"/>
      <c r="V6" s="194"/>
      <c r="W6" s="194"/>
    </row>
    <row r="7" spans="2:34" ht="56.25" customHeight="1" x14ac:dyDescent="0.25">
      <c r="B7" s="186" t="s">
        <v>10</v>
      </c>
      <c r="C7" s="186" t="s">
        <v>137</v>
      </c>
      <c r="D7" s="186" t="s">
        <v>30</v>
      </c>
      <c r="E7" s="186" t="s">
        <v>146</v>
      </c>
      <c r="F7" s="186" t="s">
        <v>31</v>
      </c>
      <c r="G7" s="186" t="s">
        <v>32</v>
      </c>
      <c r="H7" s="193" t="s">
        <v>33</v>
      </c>
      <c r="I7" s="186" t="s">
        <v>148</v>
      </c>
      <c r="J7" s="186" t="s">
        <v>143</v>
      </c>
      <c r="K7" s="186" t="s">
        <v>59</v>
      </c>
      <c r="L7" s="186" t="s">
        <v>60</v>
      </c>
      <c r="M7" s="186" t="s">
        <v>61</v>
      </c>
      <c r="N7" s="186" t="s">
        <v>62</v>
      </c>
      <c r="O7" s="186" t="s">
        <v>63</v>
      </c>
      <c r="P7" s="186" t="s">
        <v>69</v>
      </c>
      <c r="Q7" s="186" t="s">
        <v>64</v>
      </c>
      <c r="R7" s="186" t="s">
        <v>65</v>
      </c>
      <c r="S7" s="186" t="s">
        <v>69</v>
      </c>
      <c r="T7" s="186" t="s">
        <v>66</v>
      </c>
      <c r="U7" s="186" t="s">
        <v>67</v>
      </c>
      <c r="V7" s="186" t="s">
        <v>69</v>
      </c>
      <c r="W7" s="192" t="s">
        <v>68</v>
      </c>
    </row>
    <row r="8" spans="2:34" ht="32.25" customHeight="1" x14ac:dyDescent="0.25">
      <c r="B8" s="186"/>
      <c r="C8" s="186"/>
      <c r="D8" s="186"/>
      <c r="E8" s="186"/>
      <c r="F8" s="186"/>
      <c r="G8" s="186"/>
      <c r="H8" s="193"/>
      <c r="I8" s="186"/>
      <c r="J8" s="186"/>
      <c r="K8" s="186"/>
      <c r="L8" s="186"/>
      <c r="M8" s="186"/>
      <c r="N8" s="186"/>
      <c r="O8" s="186"/>
      <c r="P8" s="186"/>
      <c r="Q8" s="186"/>
      <c r="R8" s="186"/>
      <c r="S8" s="186"/>
      <c r="T8" s="186"/>
      <c r="U8" s="186"/>
      <c r="V8" s="186"/>
      <c r="W8" s="192"/>
    </row>
    <row r="9" spans="2:34" ht="38.25" x14ac:dyDescent="0.25">
      <c r="B9" s="53" t="s">
        <v>14</v>
      </c>
      <c r="C9" s="53"/>
      <c r="D9" s="53" t="s">
        <v>944</v>
      </c>
      <c r="E9" s="54"/>
      <c r="F9" s="55"/>
      <c r="G9" s="55"/>
      <c r="H9" s="55"/>
      <c r="I9" s="55"/>
      <c r="J9" s="55"/>
      <c r="K9" s="55"/>
      <c r="L9" s="55"/>
      <c r="M9" s="55"/>
      <c r="N9" s="55"/>
      <c r="O9" s="55"/>
      <c r="P9" s="55"/>
      <c r="Q9" s="55"/>
      <c r="R9" s="55"/>
      <c r="S9" s="55"/>
      <c r="T9" s="55"/>
      <c r="U9" s="50"/>
      <c r="V9" s="50"/>
      <c r="W9" s="138"/>
    </row>
    <row r="10" spans="2:34" s="4" customFormat="1" ht="169.5" customHeight="1" x14ac:dyDescent="0.25">
      <c r="B10" s="25" t="s">
        <v>46</v>
      </c>
      <c r="C10" s="30"/>
      <c r="D10" s="25" t="s">
        <v>149</v>
      </c>
      <c r="E10" s="25"/>
      <c r="F10" s="30"/>
      <c r="G10" s="25"/>
      <c r="H10" s="25"/>
      <c r="I10" s="30"/>
      <c r="J10" s="25"/>
      <c r="K10" s="25"/>
      <c r="L10" s="30"/>
      <c r="M10" s="25"/>
      <c r="N10" s="25"/>
      <c r="O10" s="30"/>
      <c r="P10" s="25"/>
      <c r="Q10" s="25"/>
      <c r="R10" s="30"/>
      <c r="S10" s="25"/>
      <c r="T10" s="25"/>
      <c r="U10" s="30"/>
      <c r="V10" s="25"/>
      <c r="W10" s="76"/>
      <c r="X10" s="49"/>
      <c r="Y10" s="49"/>
      <c r="Z10" s="49"/>
      <c r="AA10" s="49"/>
      <c r="AB10" s="49"/>
      <c r="AC10" s="49"/>
      <c r="AD10" s="49"/>
      <c r="AE10" s="49"/>
      <c r="AF10" s="49"/>
      <c r="AG10" s="49"/>
      <c r="AH10" s="49"/>
    </row>
    <row r="11" spans="2:34" s="4" customFormat="1" ht="108" customHeight="1" x14ac:dyDescent="0.25">
      <c r="B11" s="8" t="s">
        <v>48</v>
      </c>
      <c r="C11" s="21"/>
      <c r="D11" s="21" t="s">
        <v>150</v>
      </c>
      <c r="E11" s="21"/>
      <c r="F11" s="8"/>
      <c r="G11" s="21"/>
      <c r="H11" s="21"/>
      <c r="I11" s="21"/>
      <c r="J11" s="8"/>
      <c r="K11" s="21"/>
      <c r="L11" s="21"/>
      <c r="M11" s="21"/>
      <c r="N11" s="8"/>
      <c r="O11" s="21"/>
      <c r="P11" s="21"/>
      <c r="Q11" s="21"/>
      <c r="R11" s="8"/>
      <c r="S11" s="21"/>
      <c r="T11" s="21"/>
      <c r="U11" s="21"/>
      <c r="V11" s="8"/>
      <c r="W11" s="29"/>
      <c r="X11" s="49"/>
      <c r="Y11" s="49"/>
      <c r="Z11" s="49"/>
      <c r="AA11" s="49"/>
      <c r="AB11" s="49"/>
      <c r="AC11" s="49"/>
      <c r="AD11" s="49"/>
      <c r="AE11" s="49"/>
      <c r="AF11" s="49"/>
      <c r="AG11" s="49"/>
      <c r="AH11" s="49"/>
    </row>
    <row r="12" spans="2:34" s="4" customFormat="1" ht="26.25" customHeight="1" x14ac:dyDescent="0.25">
      <c r="B12" s="22" t="s">
        <v>49</v>
      </c>
      <c r="C12" s="22"/>
      <c r="D12" s="22" t="s">
        <v>448</v>
      </c>
      <c r="E12" s="22"/>
      <c r="F12" s="22"/>
      <c r="G12" s="22"/>
      <c r="H12" s="22"/>
      <c r="I12" s="22"/>
      <c r="J12" s="22"/>
      <c r="K12" s="22"/>
      <c r="L12" s="22"/>
      <c r="M12" s="22"/>
      <c r="N12" s="22"/>
      <c r="O12" s="22"/>
      <c r="P12" s="22"/>
      <c r="Q12" s="22"/>
      <c r="R12" s="22"/>
      <c r="S12" s="22"/>
      <c r="T12" s="22"/>
      <c r="U12" s="22"/>
      <c r="V12" s="22"/>
      <c r="W12" s="60"/>
      <c r="X12" s="49"/>
      <c r="Y12" s="135"/>
      <c r="Z12" s="161" t="s">
        <v>926</v>
      </c>
      <c r="AA12" s="161" t="s">
        <v>927</v>
      </c>
      <c r="AB12" s="161" t="s">
        <v>928</v>
      </c>
      <c r="AC12" s="162" t="s">
        <v>929</v>
      </c>
      <c r="AD12" s="162" t="s">
        <v>506</v>
      </c>
      <c r="AE12" s="162" t="s">
        <v>930</v>
      </c>
      <c r="AF12" s="49"/>
      <c r="AG12" s="49"/>
      <c r="AH12" s="49"/>
    </row>
    <row r="13" spans="2:34" s="4" customFormat="1" ht="64.5" customHeight="1" x14ac:dyDescent="0.25">
      <c r="B13" s="13" t="s">
        <v>50</v>
      </c>
      <c r="C13" s="13" t="s">
        <v>517</v>
      </c>
      <c r="D13" s="13" t="s">
        <v>152</v>
      </c>
      <c r="E13" s="18" t="s">
        <v>453</v>
      </c>
      <c r="F13" s="31" t="s">
        <v>454</v>
      </c>
      <c r="G13" s="31" t="s">
        <v>455</v>
      </c>
      <c r="H13" s="31" t="s">
        <v>456</v>
      </c>
      <c r="I13" s="31" t="s">
        <v>457</v>
      </c>
      <c r="J13" s="31" t="s">
        <v>458</v>
      </c>
      <c r="K13" s="31" t="s">
        <v>47</v>
      </c>
      <c r="L13" s="31" t="s">
        <v>762</v>
      </c>
      <c r="M13" s="31" t="s">
        <v>763</v>
      </c>
      <c r="N13" s="31">
        <v>5500</v>
      </c>
      <c r="O13" s="31" t="s">
        <v>764</v>
      </c>
      <c r="P13" s="31" t="s">
        <v>765</v>
      </c>
      <c r="Q13" s="31">
        <v>840</v>
      </c>
      <c r="R13" s="31"/>
      <c r="S13" s="31"/>
      <c r="T13" s="31"/>
      <c r="U13" s="13"/>
      <c r="V13" s="13"/>
      <c r="W13" s="42"/>
      <c r="X13" s="49"/>
      <c r="Y13" s="135" t="s">
        <v>762</v>
      </c>
      <c r="Z13" s="135">
        <f>SUMIF(L:L,"P.B.238",N:N)</f>
        <v>848944.7</v>
      </c>
      <c r="AA13" s="135">
        <f>SUMIF(O:O,"P.B.238",Q:Q)</f>
        <v>0</v>
      </c>
      <c r="AB13" s="135">
        <f>SUMIF(R:R,"P.B.238",T:T)</f>
        <v>0</v>
      </c>
      <c r="AC13" s="135">
        <f>SUMIF(U:U,"P.B.238",W:W)</f>
        <v>0</v>
      </c>
      <c r="AD13" s="135">
        <f>SUMIF(X:X,"P.B.238",Z:Z)</f>
        <v>0</v>
      </c>
      <c r="AE13" s="136">
        <f>Z13+AA13+AB13+AC13+AD13</f>
        <v>848944.7</v>
      </c>
      <c r="AF13" s="49"/>
      <c r="AG13" s="49"/>
      <c r="AH13" s="49"/>
    </row>
    <row r="14" spans="2:34" s="4" customFormat="1" ht="63.75" customHeight="1" x14ac:dyDescent="0.25">
      <c r="B14" s="24" t="s">
        <v>51</v>
      </c>
      <c r="C14" s="13" t="s">
        <v>518</v>
      </c>
      <c r="D14" s="13" t="s">
        <v>459</v>
      </c>
      <c r="E14" s="18" t="s">
        <v>453</v>
      </c>
      <c r="F14" s="31" t="s">
        <v>454</v>
      </c>
      <c r="G14" s="31" t="s">
        <v>460</v>
      </c>
      <c r="H14" s="31" t="s">
        <v>456</v>
      </c>
      <c r="I14" s="31" t="s">
        <v>457</v>
      </c>
      <c r="J14" s="31" t="s">
        <v>458</v>
      </c>
      <c r="K14" s="31" t="s">
        <v>47</v>
      </c>
      <c r="L14" s="31" t="s">
        <v>762</v>
      </c>
      <c r="M14" s="31" t="s">
        <v>763</v>
      </c>
      <c r="N14" s="42">
        <v>5766.1</v>
      </c>
      <c r="O14" s="31"/>
      <c r="P14" s="31"/>
      <c r="Q14" s="31"/>
      <c r="R14" s="31"/>
      <c r="S14" s="31"/>
      <c r="T14" s="31"/>
      <c r="U14" s="13"/>
      <c r="V14" s="13"/>
      <c r="W14" s="42"/>
      <c r="X14" s="49"/>
      <c r="Y14" s="135" t="s">
        <v>840</v>
      </c>
      <c r="Z14" s="135">
        <f>SUMIF(L:L,"P.B.235",N:N)</f>
        <v>0</v>
      </c>
      <c r="AA14" s="135">
        <f>SUMIF(O:O,"P.B.235",Q:Q)</f>
        <v>2102</v>
      </c>
      <c r="AB14" s="135">
        <f>SUMIF(R:R,"P.B.235",T:T)</f>
        <v>190</v>
      </c>
      <c r="AC14" s="135">
        <f>SUMIF(U:U,"P.B.235",W:W)</f>
        <v>0</v>
      </c>
      <c r="AD14" s="135">
        <f>SUMIF(X:X,"P.B.235",Z:Z)</f>
        <v>0</v>
      </c>
      <c r="AE14" s="136">
        <f>Z14+AA14+AB14+AC14+AD14</f>
        <v>2292</v>
      </c>
      <c r="AF14" s="49"/>
      <c r="AG14" s="49"/>
      <c r="AH14" s="49"/>
    </row>
    <row r="15" spans="2:34" s="4" customFormat="1" ht="63.75" customHeight="1" x14ac:dyDescent="0.25">
      <c r="B15" s="24" t="s">
        <v>154</v>
      </c>
      <c r="C15" s="13" t="s">
        <v>519</v>
      </c>
      <c r="D15" s="13" t="s">
        <v>155</v>
      </c>
      <c r="E15" s="18" t="s">
        <v>453</v>
      </c>
      <c r="F15" s="31" t="s">
        <v>454</v>
      </c>
      <c r="G15" s="31" t="s">
        <v>460</v>
      </c>
      <c r="H15" s="31" t="s">
        <v>456</v>
      </c>
      <c r="I15" s="31" t="s">
        <v>457</v>
      </c>
      <c r="J15" s="31" t="s">
        <v>458</v>
      </c>
      <c r="K15" s="31" t="s">
        <v>47</v>
      </c>
      <c r="L15" s="31" t="s">
        <v>762</v>
      </c>
      <c r="M15" s="31" t="s">
        <v>763</v>
      </c>
      <c r="N15" s="38">
        <v>98869</v>
      </c>
      <c r="O15" s="31"/>
      <c r="P15" s="31"/>
      <c r="Q15" s="31"/>
      <c r="R15" s="31"/>
      <c r="S15" s="31"/>
      <c r="T15" s="31"/>
      <c r="U15" s="13"/>
      <c r="V15" s="13"/>
      <c r="W15" s="42"/>
      <c r="X15" s="49"/>
      <c r="Y15" s="135" t="s">
        <v>795</v>
      </c>
      <c r="Z15" s="135">
        <f>SUMIF(L:L,"P.B.209",N:N)</f>
        <v>0</v>
      </c>
      <c r="AA15" s="135">
        <f>SUMIF(O:O,"P.B.209",Q:Q)</f>
        <v>7400</v>
      </c>
      <c r="AB15" s="135">
        <f>SUMIF(R:R,"P.B.209",T:T)</f>
        <v>0</v>
      </c>
      <c r="AC15" s="135">
        <f>SUMIF(U:U,"P.B.209",W:W)</f>
        <v>0</v>
      </c>
      <c r="AD15" s="135">
        <f>SUMIF(X:X,"P.B.209",Z:Z)</f>
        <v>0</v>
      </c>
      <c r="AE15" s="136">
        <f t="shared" ref="AE15:AE17" si="0">Z15+AA15+AB15+AC15+AD15</f>
        <v>7400</v>
      </c>
      <c r="AF15" s="49"/>
      <c r="AG15" s="49"/>
      <c r="AH15" s="49"/>
    </row>
    <row r="16" spans="2:34" s="4" customFormat="1" ht="67.5" customHeight="1" x14ac:dyDescent="0.25">
      <c r="B16" s="13" t="s">
        <v>449</v>
      </c>
      <c r="C16" s="13" t="s">
        <v>520</v>
      </c>
      <c r="D16" s="13" t="s">
        <v>461</v>
      </c>
      <c r="E16" s="18" t="s">
        <v>462</v>
      </c>
      <c r="F16" s="31" t="s">
        <v>463</v>
      </c>
      <c r="G16" s="31" t="s">
        <v>464</v>
      </c>
      <c r="H16" s="31" t="s">
        <v>456</v>
      </c>
      <c r="I16" s="31" t="s">
        <v>465</v>
      </c>
      <c r="J16" s="31" t="s">
        <v>466</v>
      </c>
      <c r="K16" s="31" t="s">
        <v>467</v>
      </c>
      <c r="L16" s="31" t="s">
        <v>762</v>
      </c>
      <c r="M16" s="31" t="s">
        <v>763</v>
      </c>
      <c r="N16" s="31">
        <v>22620.5</v>
      </c>
      <c r="O16" s="31"/>
      <c r="P16" s="31"/>
      <c r="Q16" s="31"/>
      <c r="R16" s="31"/>
      <c r="S16" s="31"/>
      <c r="T16" s="31"/>
      <c r="U16" s="13"/>
      <c r="V16" s="13"/>
      <c r="W16" s="42"/>
      <c r="X16" s="49"/>
      <c r="Y16" s="135" t="s">
        <v>778</v>
      </c>
      <c r="Z16" s="135">
        <f>SUMIF(L:L,"P.B.214",N:N)</f>
        <v>6.7720000000000002</v>
      </c>
      <c r="AA16" s="135">
        <f>SUMIF(O:O,"P.B.214",Q:Q)</f>
        <v>0</v>
      </c>
      <c r="AB16" s="135">
        <f>SUMIF(R:R,"P.B.214",T:T)</f>
        <v>0</v>
      </c>
      <c r="AC16" s="135">
        <f>SUMIF(U:U,"P.B.214",W:W)</f>
        <v>0</v>
      </c>
      <c r="AD16" s="135">
        <f>SUMIF(X:X,"P.B.214",Z:Z)</f>
        <v>0</v>
      </c>
      <c r="AE16" s="163">
        <f t="shared" si="0"/>
        <v>6.7720000000000002</v>
      </c>
      <c r="AF16" s="49"/>
      <c r="AG16" s="49"/>
      <c r="AH16" s="49"/>
    </row>
    <row r="17" spans="2:34" s="4" customFormat="1" ht="79.5" customHeight="1" x14ac:dyDescent="0.25">
      <c r="B17" s="24" t="s">
        <v>158</v>
      </c>
      <c r="C17" s="13" t="s">
        <v>521</v>
      </c>
      <c r="D17" s="13" t="s">
        <v>159</v>
      </c>
      <c r="E17" s="18" t="s">
        <v>468</v>
      </c>
      <c r="F17" s="31" t="s">
        <v>454</v>
      </c>
      <c r="G17" s="31" t="s">
        <v>469</v>
      </c>
      <c r="H17" s="31" t="s">
        <v>456</v>
      </c>
      <c r="I17" s="31" t="s">
        <v>457</v>
      </c>
      <c r="J17" s="31" t="s">
        <v>458</v>
      </c>
      <c r="K17" s="31" t="s">
        <v>47</v>
      </c>
      <c r="L17" s="31" t="s">
        <v>762</v>
      </c>
      <c r="M17" s="31" t="s">
        <v>766</v>
      </c>
      <c r="N17" s="86">
        <v>101439</v>
      </c>
      <c r="O17" s="31"/>
      <c r="P17" s="31"/>
      <c r="Q17" s="31"/>
      <c r="R17" s="31"/>
      <c r="S17" s="31"/>
      <c r="T17" s="31"/>
      <c r="U17" s="13"/>
      <c r="V17" s="13"/>
      <c r="W17" s="42"/>
      <c r="X17" s="49"/>
      <c r="Y17" s="135" t="s">
        <v>840</v>
      </c>
      <c r="Z17" s="135">
        <f>SUMIF(L:L,"P.B.235",N:N)</f>
        <v>0</v>
      </c>
      <c r="AA17" s="135">
        <f>SUMIF(O:O,"P.B.235",Q:Q)</f>
        <v>2102</v>
      </c>
      <c r="AB17" s="135">
        <f>SUMIF(R:R,"P.B.235",T:T)</f>
        <v>190</v>
      </c>
      <c r="AC17" s="135">
        <f>SUMIF(U:U,"P.B.235",W:W)</f>
        <v>0</v>
      </c>
      <c r="AD17" s="135">
        <f>SUMIF(X:X,"P.B.214",Z:Z)</f>
        <v>0</v>
      </c>
      <c r="AE17" s="136">
        <f t="shared" si="0"/>
        <v>2292</v>
      </c>
      <c r="AF17" s="49"/>
      <c r="AG17" s="49"/>
      <c r="AH17" s="49"/>
    </row>
    <row r="18" spans="2:34" s="4" customFormat="1" ht="62.25" customHeight="1" x14ac:dyDescent="0.25">
      <c r="B18" s="13" t="s">
        <v>160</v>
      </c>
      <c r="C18" s="13" t="s">
        <v>522</v>
      </c>
      <c r="D18" s="13" t="s">
        <v>470</v>
      </c>
      <c r="E18" s="18" t="s">
        <v>468</v>
      </c>
      <c r="F18" s="31" t="s">
        <v>454</v>
      </c>
      <c r="G18" s="31" t="s">
        <v>469</v>
      </c>
      <c r="H18" s="31" t="s">
        <v>456</v>
      </c>
      <c r="I18" s="31" t="s">
        <v>457</v>
      </c>
      <c r="J18" s="31" t="s">
        <v>458</v>
      </c>
      <c r="K18" s="31" t="s">
        <v>47</v>
      </c>
      <c r="L18" s="31" t="s">
        <v>762</v>
      </c>
      <c r="M18" s="31" t="s">
        <v>766</v>
      </c>
      <c r="N18" s="42">
        <v>4000</v>
      </c>
      <c r="O18" s="31"/>
      <c r="P18" s="31"/>
      <c r="Q18" s="31"/>
      <c r="R18" s="31"/>
      <c r="S18" s="31"/>
      <c r="T18" s="31"/>
      <c r="U18" s="13"/>
      <c r="V18" s="13"/>
      <c r="W18" s="42"/>
      <c r="X18" s="49"/>
      <c r="Y18" s="135" t="s">
        <v>764</v>
      </c>
      <c r="Z18" s="135">
        <f>SUMIF(L:L,"P.B.239",N:N)</f>
        <v>0</v>
      </c>
      <c r="AA18" s="135">
        <f>SUMIF(O:O,"P.B.239",Q:Q)</f>
        <v>1930</v>
      </c>
      <c r="AB18" s="135">
        <f>SUMIF(R:R,"P.B.239",T:T)</f>
        <v>0</v>
      </c>
      <c r="AC18" s="135">
        <f>SUMIF(U:U,"P.B.239",W:W)</f>
        <v>0</v>
      </c>
      <c r="AD18" s="135">
        <f>SUMIF(X:X,"P.B.239",Z:Z)</f>
        <v>0</v>
      </c>
      <c r="AE18" s="136">
        <f t="shared" ref="AE18" si="1">Z18+AA18+AB18+AC18+AD18</f>
        <v>1930</v>
      </c>
      <c r="AF18" s="49"/>
      <c r="AG18" s="49"/>
      <c r="AH18" s="49"/>
    </row>
    <row r="19" spans="2:34" s="84" customFormat="1" ht="78" customHeight="1" x14ac:dyDescent="0.25">
      <c r="B19" s="51" t="s">
        <v>162</v>
      </c>
      <c r="C19" s="51" t="s">
        <v>523</v>
      </c>
      <c r="D19" s="51" t="s">
        <v>163</v>
      </c>
      <c r="E19" s="94" t="s">
        <v>471</v>
      </c>
      <c r="F19" s="86" t="s">
        <v>463</v>
      </c>
      <c r="G19" s="86" t="s">
        <v>472</v>
      </c>
      <c r="H19" s="86" t="s">
        <v>456</v>
      </c>
      <c r="I19" s="86" t="s">
        <v>465</v>
      </c>
      <c r="J19" s="86" t="s">
        <v>466</v>
      </c>
      <c r="K19" s="86" t="s">
        <v>467</v>
      </c>
      <c r="L19" s="86" t="s">
        <v>762</v>
      </c>
      <c r="M19" s="86" t="s">
        <v>763</v>
      </c>
      <c r="N19" s="86">
        <v>1050</v>
      </c>
      <c r="O19" s="86" t="s">
        <v>764</v>
      </c>
      <c r="P19" s="86" t="s">
        <v>765</v>
      </c>
      <c r="Q19" s="86">
        <v>290</v>
      </c>
      <c r="R19" s="38"/>
      <c r="S19" s="38"/>
      <c r="T19" s="38"/>
      <c r="U19" s="24"/>
      <c r="V19" s="24"/>
      <c r="W19" s="86"/>
      <c r="X19" s="95"/>
      <c r="Y19" s="128" t="s">
        <v>816</v>
      </c>
      <c r="Z19" s="128">
        <f>SUMIF(L:L,"P.N.028",N:N)</f>
        <v>0</v>
      </c>
      <c r="AA19" s="128">
        <f>SUMIF(O:O,"P.N.028",Q:Q)</f>
        <v>20.25</v>
      </c>
      <c r="AB19" s="128">
        <f>SUMIF(R:R,"P.N.028",T:T)</f>
        <v>0</v>
      </c>
      <c r="AC19" s="128">
        <f>SUMIF(U:U,"P.N.028",W:W)</f>
        <v>0</v>
      </c>
      <c r="AD19" s="128">
        <f>SUMIF(X:X,"P.N.028",Z:Z)</f>
        <v>0</v>
      </c>
      <c r="AE19" s="164">
        <f t="shared" ref="AE19" si="2">Z19+AA19+AB19+AC19+AD19</f>
        <v>20.25</v>
      </c>
      <c r="AF19" s="95"/>
      <c r="AG19" s="95"/>
      <c r="AH19" s="95"/>
    </row>
    <row r="20" spans="2:34" s="84" customFormat="1" ht="140.25" x14ac:dyDescent="0.25">
      <c r="B20" s="24" t="s">
        <v>164</v>
      </c>
      <c r="C20" s="24" t="s">
        <v>524</v>
      </c>
      <c r="D20" s="24" t="s">
        <v>165</v>
      </c>
      <c r="E20" s="96" t="s">
        <v>471</v>
      </c>
      <c r="F20" s="38" t="s">
        <v>463</v>
      </c>
      <c r="G20" s="38" t="s">
        <v>472</v>
      </c>
      <c r="H20" s="38" t="s">
        <v>456</v>
      </c>
      <c r="I20" s="38" t="s">
        <v>457</v>
      </c>
      <c r="J20" s="38" t="s">
        <v>458</v>
      </c>
      <c r="K20" s="38" t="s">
        <v>47</v>
      </c>
      <c r="L20" s="38" t="s">
        <v>762</v>
      </c>
      <c r="M20" s="38" t="s">
        <v>763</v>
      </c>
      <c r="N20" s="86">
        <v>18321</v>
      </c>
      <c r="O20" s="86"/>
      <c r="P20" s="86"/>
      <c r="Q20" s="86"/>
      <c r="R20" s="38"/>
      <c r="S20" s="38"/>
      <c r="T20" s="38"/>
      <c r="U20" s="24"/>
      <c r="V20" s="24"/>
      <c r="W20" s="86"/>
      <c r="X20" s="95"/>
      <c r="Y20" s="128" t="s">
        <v>803</v>
      </c>
      <c r="Z20" s="128">
        <f>SUMIF(L:L,"P.N.050",N:N)</f>
        <v>1515</v>
      </c>
      <c r="AA20" s="128">
        <f>SUMIF(O:O,"P.N.050",Q:Q)</f>
        <v>16</v>
      </c>
      <c r="AB20" s="128">
        <f>SUMIF(R:R,"P.N.050",T:T)</f>
        <v>0</v>
      </c>
      <c r="AC20" s="128">
        <f>SUMIF(U:U,"P.N.050",W:W)</f>
        <v>0</v>
      </c>
      <c r="AD20" s="128">
        <f>SUMIF(X:X,"P.N.050",Z:Z)</f>
        <v>0</v>
      </c>
      <c r="AE20" s="164">
        <f t="shared" ref="AE20" si="3">Z20+AA20+AB20+AC20+AD20</f>
        <v>1531</v>
      </c>
      <c r="AF20" s="95"/>
      <c r="AG20" s="95"/>
      <c r="AH20" s="95"/>
    </row>
    <row r="21" spans="2:34" s="84" customFormat="1" ht="65.25" customHeight="1" x14ac:dyDescent="0.25">
      <c r="B21" s="24" t="s">
        <v>450</v>
      </c>
      <c r="C21" s="24" t="s">
        <v>498</v>
      </c>
      <c r="D21" s="24" t="s">
        <v>167</v>
      </c>
      <c r="E21" s="96" t="s">
        <v>468</v>
      </c>
      <c r="F21" s="38" t="s">
        <v>454</v>
      </c>
      <c r="G21" s="38" t="s">
        <v>469</v>
      </c>
      <c r="H21" s="38" t="s">
        <v>456</v>
      </c>
      <c r="I21" s="38" t="s">
        <v>457</v>
      </c>
      <c r="J21" s="38" t="s">
        <v>458</v>
      </c>
      <c r="K21" s="38" t="s">
        <v>47</v>
      </c>
      <c r="L21" s="38" t="s">
        <v>762</v>
      </c>
      <c r="M21" s="38" t="s">
        <v>766</v>
      </c>
      <c r="N21" s="86">
        <v>8081.1</v>
      </c>
      <c r="O21" s="86"/>
      <c r="P21" s="86"/>
      <c r="Q21" s="86"/>
      <c r="R21" s="38"/>
      <c r="S21" s="38"/>
      <c r="T21" s="38"/>
      <c r="U21" s="24"/>
      <c r="V21" s="24"/>
      <c r="W21" s="86"/>
      <c r="X21" s="95"/>
      <c r="Y21" s="128" t="s">
        <v>805</v>
      </c>
      <c r="Z21" s="128">
        <f>SUMIF(L:L,"P.N.051",N:N)</f>
        <v>0</v>
      </c>
      <c r="AA21" s="128">
        <f>SUMIF(O:O,"P.N.051",Q:Q)</f>
        <v>153</v>
      </c>
      <c r="AB21" s="128">
        <f>SUMIF(R:R,"P.N.051",T:T)</f>
        <v>1298</v>
      </c>
      <c r="AC21" s="128">
        <f>SUMIF(U:U,"P.N.051",W:W)</f>
        <v>0</v>
      </c>
      <c r="AD21" s="128">
        <f>SUMIF(X:X,"P.N.051",Z:Z)</f>
        <v>0</v>
      </c>
      <c r="AE21" s="164">
        <f t="shared" ref="AE21" si="4">Z21+AA21+AB21+AC21+AD21</f>
        <v>1451</v>
      </c>
      <c r="AF21" s="95"/>
      <c r="AG21" s="95"/>
      <c r="AH21" s="95"/>
    </row>
    <row r="22" spans="2:34" s="84" customFormat="1" ht="57.75" customHeight="1" x14ac:dyDescent="0.25">
      <c r="B22" s="24" t="s">
        <v>451</v>
      </c>
      <c r="C22" s="24" t="s">
        <v>515</v>
      </c>
      <c r="D22" s="24" t="s">
        <v>473</v>
      </c>
      <c r="E22" s="96" t="s">
        <v>471</v>
      </c>
      <c r="F22" s="38" t="s">
        <v>463</v>
      </c>
      <c r="G22" s="38" t="s">
        <v>472</v>
      </c>
      <c r="H22" s="38" t="s">
        <v>456</v>
      </c>
      <c r="I22" s="38" t="s">
        <v>465</v>
      </c>
      <c r="J22" s="38" t="s">
        <v>466</v>
      </c>
      <c r="K22" s="38" t="s">
        <v>467</v>
      </c>
      <c r="L22" s="38" t="s">
        <v>762</v>
      </c>
      <c r="M22" s="38" t="s">
        <v>763</v>
      </c>
      <c r="N22" s="86">
        <v>331458</v>
      </c>
      <c r="O22" s="86"/>
      <c r="P22" s="86"/>
      <c r="Q22" s="86"/>
      <c r="R22" s="38"/>
      <c r="S22" s="38"/>
      <c r="T22" s="38"/>
      <c r="U22" s="24"/>
      <c r="V22" s="24"/>
      <c r="W22" s="86"/>
      <c r="X22" s="95"/>
      <c r="Y22" s="128" t="s">
        <v>807</v>
      </c>
      <c r="Z22" s="128">
        <f>SUMIF(L:L,"P.N.053",N:N)</f>
        <v>0</v>
      </c>
      <c r="AA22" s="128">
        <f>SUMIF(O:O,"P.N.053",Q:Q)</f>
        <v>1963</v>
      </c>
      <c r="AB22" s="128">
        <f>SUMIF(R:R,"P.N.053",T:T)</f>
        <v>153</v>
      </c>
      <c r="AC22" s="128">
        <f>SUMIF(U:U,"P.N.053",W:W)</f>
        <v>120</v>
      </c>
      <c r="AD22" s="128">
        <f>SUMIF(X:X,"P.N.053",Z:Z)</f>
        <v>0</v>
      </c>
      <c r="AE22" s="164">
        <f t="shared" ref="AE22" si="5">Z22+AA22+AB22+AC22+AD22</f>
        <v>2236</v>
      </c>
      <c r="AF22" s="95"/>
      <c r="AG22" s="95"/>
      <c r="AH22" s="95"/>
    </row>
    <row r="23" spans="2:34" s="84" customFormat="1" ht="77.25" customHeight="1" x14ac:dyDescent="0.25">
      <c r="B23" s="51" t="s">
        <v>170</v>
      </c>
      <c r="C23" s="51" t="s">
        <v>516</v>
      </c>
      <c r="D23" s="51" t="s">
        <v>171</v>
      </c>
      <c r="E23" s="94" t="s">
        <v>471</v>
      </c>
      <c r="F23" s="86" t="s">
        <v>463</v>
      </c>
      <c r="G23" s="86" t="s">
        <v>472</v>
      </c>
      <c r="H23" s="86" t="s">
        <v>456</v>
      </c>
      <c r="I23" s="86" t="s">
        <v>465</v>
      </c>
      <c r="J23" s="86" t="s">
        <v>466</v>
      </c>
      <c r="K23" s="86" t="s">
        <v>467</v>
      </c>
      <c r="L23" s="86" t="s">
        <v>762</v>
      </c>
      <c r="M23" s="86" t="s">
        <v>763</v>
      </c>
      <c r="N23" s="86">
        <v>7468</v>
      </c>
      <c r="O23" s="86"/>
      <c r="P23" s="86"/>
      <c r="Q23" s="86"/>
      <c r="R23" s="38"/>
      <c r="S23" s="38"/>
      <c r="T23" s="38"/>
      <c r="U23" s="24"/>
      <c r="V23" s="24"/>
      <c r="W23" s="86"/>
      <c r="X23" s="95"/>
      <c r="Y23" s="128" t="s">
        <v>809</v>
      </c>
      <c r="Z23" s="128">
        <f>SUMIF(L:L,"P.N.054",N:N)</f>
        <v>0</v>
      </c>
      <c r="AA23" s="128">
        <f>SUMIF(O:O,"P.N.054",Q:Q)</f>
        <v>0</v>
      </c>
      <c r="AB23" s="128">
        <f>SUMIF(R:R,"P.N.054",T:T)</f>
        <v>648</v>
      </c>
      <c r="AC23" s="128">
        <f>SUMIF(U:U,"P.N.054",W:W)</f>
        <v>153</v>
      </c>
      <c r="AD23" s="128">
        <f>SUMIF(X:X,"P.N.054",Z:Z)</f>
        <v>27</v>
      </c>
      <c r="AE23" s="164">
        <f t="shared" ref="AE23" si="6">Z23+AA23+AB23+AC23+AD23</f>
        <v>828</v>
      </c>
      <c r="AF23" s="95"/>
      <c r="AG23" s="95"/>
      <c r="AH23" s="95"/>
    </row>
    <row r="24" spans="2:34" s="4" customFormat="1" ht="72" customHeight="1" x14ac:dyDescent="0.25">
      <c r="B24" s="24" t="s">
        <v>172</v>
      </c>
      <c r="C24" s="13" t="s">
        <v>525</v>
      </c>
      <c r="D24" s="13" t="s">
        <v>173</v>
      </c>
      <c r="E24" s="18" t="s">
        <v>468</v>
      </c>
      <c r="F24" s="31" t="s">
        <v>454</v>
      </c>
      <c r="G24" s="31" t="s">
        <v>469</v>
      </c>
      <c r="H24" s="31" t="s">
        <v>456</v>
      </c>
      <c r="I24" s="31" t="s">
        <v>457</v>
      </c>
      <c r="J24" s="31" t="s">
        <v>458</v>
      </c>
      <c r="K24" s="31" t="s">
        <v>47</v>
      </c>
      <c r="L24" s="31" t="s">
        <v>762</v>
      </c>
      <c r="M24" s="31" t="s">
        <v>766</v>
      </c>
      <c r="N24" s="86">
        <v>58654</v>
      </c>
      <c r="O24" s="31"/>
      <c r="P24" s="31"/>
      <c r="Q24" s="31"/>
      <c r="R24" s="31"/>
      <c r="S24" s="31"/>
      <c r="T24" s="31"/>
      <c r="U24" s="13"/>
      <c r="V24" s="13"/>
      <c r="W24" s="42"/>
      <c r="X24" s="49"/>
      <c r="Y24" s="135" t="s">
        <v>824</v>
      </c>
      <c r="Z24" s="135">
        <f>SUMIF(L:L,"P.N.092",N:N)</f>
        <v>4</v>
      </c>
      <c r="AA24" s="135">
        <f>SUMIF(O:O,"P.N.092",Q:Q)</f>
        <v>1</v>
      </c>
      <c r="AB24" s="135">
        <f>SUMIF(R:R,"P.N.092",T:T)</f>
        <v>0</v>
      </c>
      <c r="AC24" s="135">
        <f>SUMIF(U:U,"P.N.092",W:W)</f>
        <v>0</v>
      </c>
      <c r="AD24" s="135">
        <f>SUMIF(X:X,"P.N.092",Z:Z)</f>
        <v>0</v>
      </c>
      <c r="AE24" s="136">
        <f t="shared" ref="AE24" si="7">Z24+AA24+AB24+AC24+AD24</f>
        <v>5</v>
      </c>
      <c r="AF24" s="49"/>
      <c r="AG24" s="49"/>
      <c r="AH24" s="49"/>
    </row>
    <row r="25" spans="2:34" s="4" customFormat="1" ht="76.5" x14ac:dyDescent="0.25">
      <c r="B25" s="13" t="s">
        <v>174</v>
      </c>
      <c r="C25" s="13" t="s">
        <v>526</v>
      </c>
      <c r="D25" s="13" t="s">
        <v>175</v>
      </c>
      <c r="E25" s="18" t="s">
        <v>468</v>
      </c>
      <c r="F25" s="31" t="s">
        <v>454</v>
      </c>
      <c r="G25" s="31" t="s">
        <v>469</v>
      </c>
      <c r="H25" s="31" t="s">
        <v>456</v>
      </c>
      <c r="I25" s="31" t="s">
        <v>457</v>
      </c>
      <c r="J25" s="31" t="s">
        <v>458</v>
      </c>
      <c r="K25" s="31" t="s">
        <v>47</v>
      </c>
      <c r="L25" s="31" t="s">
        <v>762</v>
      </c>
      <c r="M25" s="31" t="s">
        <v>766</v>
      </c>
      <c r="N25" s="31">
        <v>5000</v>
      </c>
      <c r="O25" s="31"/>
      <c r="P25" s="31"/>
      <c r="Q25" s="31"/>
      <c r="R25" s="31"/>
      <c r="S25" s="31"/>
      <c r="T25" s="31"/>
      <c r="U25" s="13"/>
      <c r="V25" s="13"/>
      <c r="W25" s="42"/>
      <c r="X25" s="49"/>
      <c r="Y25" s="135" t="s">
        <v>826</v>
      </c>
      <c r="Z25" s="135">
        <f>SUMIF(L:L,"P.N.093",N:N)</f>
        <v>121</v>
      </c>
      <c r="AA25" s="135">
        <f>SUMIF(O:O,"P.N.093",Q:Q)</f>
        <v>34</v>
      </c>
      <c r="AB25" s="135">
        <f>SUMIF(R:R,"P.N.093",T:T)</f>
        <v>0</v>
      </c>
      <c r="AC25" s="135">
        <f>SUMIF(U:U,"P.N.093",W:W)</f>
        <v>0</v>
      </c>
      <c r="AD25" s="135">
        <f>SUMIF(X:X,"P.N.093",Z:Z)</f>
        <v>8</v>
      </c>
      <c r="AE25" s="136">
        <f t="shared" ref="AE25" si="8">Z25+AA25+AB25+AC25+AD25</f>
        <v>163</v>
      </c>
      <c r="AF25" s="49"/>
      <c r="AG25" s="49"/>
      <c r="AH25" s="49"/>
    </row>
    <row r="26" spans="2:34" s="4" customFormat="1" ht="56.25" customHeight="1" x14ac:dyDescent="0.25">
      <c r="B26" s="24" t="s">
        <v>452</v>
      </c>
      <c r="C26" s="13" t="s">
        <v>527</v>
      </c>
      <c r="D26" s="13" t="s">
        <v>474</v>
      </c>
      <c r="E26" s="18" t="s">
        <v>471</v>
      </c>
      <c r="F26" s="31" t="s">
        <v>463</v>
      </c>
      <c r="G26" s="31" t="s">
        <v>472</v>
      </c>
      <c r="H26" s="31" t="s">
        <v>456</v>
      </c>
      <c r="I26" s="31" t="s">
        <v>465</v>
      </c>
      <c r="J26" s="31" t="s">
        <v>466</v>
      </c>
      <c r="K26" s="31" t="s">
        <v>467</v>
      </c>
      <c r="L26" s="31" t="s">
        <v>762</v>
      </c>
      <c r="M26" s="31" t="s">
        <v>763</v>
      </c>
      <c r="N26" s="38">
        <v>30657</v>
      </c>
      <c r="O26" s="31"/>
      <c r="P26" s="31"/>
      <c r="Q26" s="31"/>
      <c r="R26" s="31"/>
      <c r="S26" s="31"/>
      <c r="T26" s="31"/>
      <c r="U26" s="13"/>
      <c r="V26" s="13"/>
      <c r="W26" s="42"/>
      <c r="X26" s="49"/>
      <c r="Y26" s="135" t="s">
        <v>865</v>
      </c>
      <c r="Z26" s="135">
        <f>SUMIF(L:L,"P.N.304",N:N)</f>
        <v>6</v>
      </c>
      <c r="AA26" s="135">
        <f>SUMIF(O:O,"P.N.304",Q:Q)</f>
        <v>0</v>
      </c>
      <c r="AB26" s="135">
        <f>SUMIF(R:R,"P.N.304",T:T)</f>
        <v>0</v>
      </c>
      <c r="AC26" s="135">
        <f>SUMIF(U:U,"P.N.304",W:W)</f>
        <v>0</v>
      </c>
      <c r="AD26" s="135">
        <f>SUMIF(X:X,"P.N.304",Z:Z)</f>
        <v>0</v>
      </c>
      <c r="AE26" s="136">
        <f t="shared" ref="AE26" si="9">Z26+AA26+AB26+AC26+AD26</f>
        <v>6</v>
      </c>
      <c r="AF26" s="49"/>
      <c r="AG26" s="49"/>
      <c r="AH26" s="49"/>
    </row>
    <row r="27" spans="2:34" ht="51" x14ac:dyDescent="0.25">
      <c r="B27" s="22" t="s">
        <v>52</v>
      </c>
      <c r="C27" s="22"/>
      <c r="D27" s="22" t="s">
        <v>499</v>
      </c>
      <c r="E27" s="22"/>
      <c r="F27" s="22"/>
      <c r="G27" s="22"/>
      <c r="H27" s="22"/>
      <c r="I27" s="22"/>
      <c r="J27" s="22"/>
      <c r="K27" s="22"/>
      <c r="L27" s="22"/>
      <c r="M27" s="22"/>
      <c r="N27" s="22"/>
      <c r="O27" s="22"/>
      <c r="P27" s="22"/>
      <c r="Q27" s="22"/>
      <c r="R27" s="22"/>
      <c r="S27" s="22"/>
      <c r="T27" s="22"/>
      <c r="U27" s="22"/>
      <c r="V27" s="22"/>
      <c r="W27" s="60"/>
      <c r="Y27" s="135" t="s">
        <v>859</v>
      </c>
      <c r="Z27" s="135">
        <f>SUMIF(L:L,"P.N.403",N:N)</f>
        <v>0</v>
      </c>
      <c r="AA27" s="135">
        <f>SUMIF(O:O,"P.N.403",Q:Q)</f>
        <v>136</v>
      </c>
      <c r="AB27" s="135">
        <f>SUMIF(R:R,"P.N.403",T:T)</f>
        <v>0</v>
      </c>
      <c r="AC27" s="135">
        <f>SUMIF(U:U,"P.N.403",W:W)</f>
        <v>0</v>
      </c>
      <c r="AD27" s="135">
        <f>SUMIF(X:X,"P.N.403",Z:Z)</f>
        <v>0</v>
      </c>
      <c r="AE27" s="136">
        <f t="shared" ref="AE27" si="10">Z27+AA27+AB27+AC27+AD27</f>
        <v>136</v>
      </c>
    </row>
    <row r="28" spans="2:34" ht="58.5" customHeight="1" x14ac:dyDescent="0.25">
      <c r="B28" s="24" t="s">
        <v>53</v>
      </c>
      <c r="C28" s="13" t="s">
        <v>528</v>
      </c>
      <c r="D28" s="13" t="s">
        <v>179</v>
      </c>
      <c r="E28" s="13" t="s">
        <v>500</v>
      </c>
      <c r="F28" s="13" t="s">
        <v>454</v>
      </c>
      <c r="G28" s="13" t="s">
        <v>501</v>
      </c>
      <c r="H28" s="13" t="s">
        <v>502</v>
      </c>
      <c r="I28" s="13" t="s">
        <v>457</v>
      </c>
      <c r="J28" s="13" t="s">
        <v>458</v>
      </c>
      <c r="K28" s="13" t="s">
        <v>47</v>
      </c>
      <c r="L28" s="31" t="s">
        <v>762</v>
      </c>
      <c r="M28" s="31" t="s">
        <v>767</v>
      </c>
      <c r="N28" s="42">
        <v>6145</v>
      </c>
      <c r="O28" s="31"/>
      <c r="P28" s="31"/>
      <c r="Q28" s="31"/>
      <c r="R28" s="13"/>
      <c r="S28" s="31"/>
      <c r="T28" s="13"/>
      <c r="U28" s="13"/>
      <c r="V28" s="13"/>
      <c r="W28" s="42"/>
      <c r="Y28" s="135" t="s">
        <v>789</v>
      </c>
      <c r="Z28" s="135">
        <f>SUMIF(L:L,"P.N.507",N:N)</f>
        <v>2</v>
      </c>
      <c r="AA28" s="135">
        <f>SUMIF(O:O,"P.N.507",Q:Q)</f>
        <v>0</v>
      </c>
      <c r="AB28" s="135">
        <f>SUMIF(R:R,"P.N.507",T:T)</f>
        <v>0</v>
      </c>
      <c r="AC28" s="135">
        <f>SUMIF(U:U,"P.N.507",W:W)</f>
        <v>0</v>
      </c>
      <c r="AD28" s="135">
        <f>SUMIF(X:X,"P.N.507",Z:Z)</f>
        <v>0</v>
      </c>
      <c r="AE28" s="136">
        <f t="shared" ref="AE28" si="11">Z28+AA28+AB28+AC28+AD28</f>
        <v>2</v>
      </c>
    </row>
    <row r="29" spans="2:34" ht="128.25" customHeight="1" x14ac:dyDescent="0.25">
      <c r="B29" s="24" t="s">
        <v>54</v>
      </c>
      <c r="C29" s="13" t="s">
        <v>530</v>
      </c>
      <c r="D29" s="13" t="s">
        <v>180</v>
      </c>
      <c r="E29" s="13" t="s">
        <v>503</v>
      </c>
      <c r="F29" s="13" t="s">
        <v>454</v>
      </c>
      <c r="G29" s="13" t="s">
        <v>504</v>
      </c>
      <c r="H29" s="13" t="s">
        <v>505</v>
      </c>
      <c r="I29" s="13" t="s">
        <v>506</v>
      </c>
      <c r="J29" s="13" t="s">
        <v>458</v>
      </c>
      <c r="K29" s="13" t="s">
        <v>47</v>
      </c>
      <c r="L29" s="31" t="s">
        <v>762</v>
      </c>
      <c r="M29" s="31" t="s">
        <v>767</v>
      </c>
      <c r="N29" s="42">
        <v>88445</v>
      </c>
      <c r="O29" s="31" t="s">
        <v>764</v>
      </c>
      <c r="P29" s="31" t="s">
        <v>768</v>
      </c>
      <c r="Q29" s="38">
        <v>800</v>
      </c>
      <c r="R29" s="13"/>
      <c r="S29" s="31"/>
      <c r="T29" s="13"/>
      <c r="U29" s="13"/>
      <c r="V29" s="13"/>
      <c r="W29" s="42"/>
      <c r="Y29" s="135" t="s">
        <v>773</v>
      </c>
      <c r="Z29" s="135">
        <f>SUMIF(L:L,"P.N.508",N:N)</f>
        <v>0.34699999999999998</v>
      </c>
      <c r="AA29" s="135">
        <f>SUMIF(O:O,"P.N.508",Q:Q)</f>
        <v>0</v>
      </c>
      <c r="AB29" s="135">
        <f>SUMIF(R:R,"P.N.508",T:T)</f>
        <v>0.23599999999999999</v>
      </c>
      <c r="AC29" s="135">
        <f>SUMIF(U:U,"P.N.508",W:W)</f>
        <v>0</v>
      </c>
      <c r="AD29" s="135">
        <f>SUMIF(X:X,"P.N.508",Z:Z)</f>
        <v>0</v>
      </c>
      <c r="AE29" s="136">
        <f t="shared" ref="AE29" si="12">Z29+AA29+AB29+AC29+AD29</f>
        <v>0.58299999999999996</v>
      </c>
    </row>
    <row r="30" spans="2:34" s="4" customFormat="1" ht="57.75" customHeight="1" x14ac:dyDescent="0.25">
      <c r="B30" s="13" t="s">
        <v>181</v>
      </c>
      <c r="C30" s="13" t="s">
        <v>529</v>
      </c>
      <c r="D30" s="13" t="s">
        <v>182</v>
      </c>
      <c r="E30" s="13" t="s">
        <v>507</v>
      </c>
      <c r="F30" s="13" t="s">
        <v>454</v>
      </c>
      <c r="G30" s="13" t="s">
        <v>508</v>
      </c>
      <c r="H30" s="13" t="s">
        <v>505</v>
      </c>
      <c r="I30" s="13" t="s">
        <v>506</v>
      </c>
      <c r="J30" s="13" t="s">
        <v>458</v>
      </c>
      <c r="K30" s="13" t="s">
        <v>47</v>
      </c>
      <c r="L30" s="31" t="s">
        <v>762</v>
      </c>
      <c r="M30" s="31" t="s">
        <v>766</v>
      </c>
      <c r="N30" s="38">
        <v>55471</v>
      </c>
      <c r="O30" s="31"/>
      <c r="P30" s="31"/>
      <c r="Q30" s="31"/>
      <c r="R30" s="13"/>
      <c r="S30" s="31"/>
      <c r="T30" s="13"/>
      <c r="U30" s="13"/>
      <c r="V30" s="13"/>
      <c r="W30" s="42"/>
      <c r="X30" s="49"/>
      <c r="Y30" s="135" t="s">
        <v>850</v>
      </c>
      <c r="Z30" s="135">
        <f>SUMIF(L:L,"P.N.671",N:N)</f>
        <v>0</v>
      </c>
      <c r="AA30" s="135">
        <f>SUMIF(O:O,"P.N.671",Q:Q)</f>
        <v>1</v>
      </c>
      <c r="AB30" s="135">
        <f>SUMIF(R:R,"P.N.671",T:T)</f>
        <v>0</v>
      </c>
      <c r="AC30" s="135">
        <f>SUMIF(U:U,"P.N.671",W:W)</f>
        <v>0</v>
      </c>
      <c r="AD30" s="135">
        <f>SUMIF(X:X,"P.N.671",Z:Z)</f>
        <v>0</v>
      </c>
      <c r="AE30" s="136">
        <f t="shared" ref="AE30" si="13">Z30+AA30+AB30+AC30+AD30</f>
        <v>1</v>
      </c>
      <c r="AF30" s="49"/>
      <c r="AG30" s="49"/>
      <c r="AH30" s="49"/>
    </row>
    <row r="31" spans="2:34" s="4" customFormat="1" ht="149.25" customHeight="1" x14ac:dyDescent="0.25">
      <c r="B31" s="8" t="s">
        <v>19</v>
      </c>
      <c r="C31" s="21"/>
      <c r="D31" s="21" t="s">
        <v>183</v>
      </c>
      <c r="E31" s="21"/>
      <c r="F31" s="8"/>
      <c r="G31" s="21"/>
      <c r="H31" s="21"/>
      <c r="I31" s="21"/>
      <c r="J31" s="8"/>
      <c r="K31" s="21"/>
      <c r="L31" s="21"/>
      <c r="M31" s="21"/>
      <c r="N31" s="8"/>
      <c r="O31" s="21"/>
      <c r="P31" s="21"/>
      <c r="Q31" s="21"/>
      <c r="R31" s="8"/>
      <c r="S31" s="21"/>
      <c r="T31" s="21"/>
      <c r="U31" s="21"/>
      <c r="V31" s="8"/>
      <c r="W31" s="29"/>
      <c r="X31" s="49"/>
      <c r="Y31" s="135" t="s">
        <v>836</v>
      </c>
      <c r="Z31" s="135">
        <f>SUMIF(L:L,"P.N.717",N:N)</f>
        <v>1</v>
      </c>
      <c r="AA31" s="135">
        <f>SUMIF(O:O,"P.N.717",Q:Q)</f>
        <v>0</v>
      </c>
      <c r="AB31" s="135">
        <f>SUMIF(R:R,"P.N.717",T:T)</f>
        <v>0</v>
      </c>
      <c r="AC31" s="135">
        <f>SUMIF(U:U,"P.N.717",W:W)</f>
        <v>0</v>
      </c>
      <c r="AD31" s="135">
        <f>SUMIF(X:X,"P.N.717",Z:Z)</f>
        <v>0</v>
      </c>
      <c r="AE31" s="136">
        <f t="shared" ref="AE31" si="14">Z31+AA31+AB31+AC31+AD31</f>
        <v>1</v>
      </c>
      <c r="AF31" s="49"/>
      <c r="AG31" s="49"/>
      <c r="AH31" s="49"/>
    </row>
    <row r="32" spans="2:34" s="4" customFormat="1" ht="51" x14ac:dyDescent="0.25">
      <c r="B32" s="22" t="s">
        <v>534</v>
      </c>
      <c r="C32" s="22"/>
      <c r="D32" s="22" t="s">
        <v>184</v>
      </c>
      <c r="E32" s="22"/>
      <c r="F32" s="22"/>
      <c r="G32" s="22"/>
      <c r="H32" s="22"/>
      <c r="I32" s="22"/>
      <c r="J32" s="22"/>
      <c r="K32" s="22"/>
      <c r="L32" s="22"/>
      <c r="M32" s="22"/>
      <c r="N32" s="22"/>
      <c r="O32" s="22"/>
      <c r="P32" s="22"/>
      <c r="Q32" s="22"/>
      <c r="R32" s="22"/>
      <c r="S32" s="22"/>
      <c r="T32" s="22"/>
      <c r="U32" s="22"/>
      <c r="V32" s="22"/>
      <c r="W32" s="60"/>
      <c r="X32" s="49"/>
      <c r="Y32" s="135" t="s">
        <v>842</v>
      </c>
      <c r="Z32" s="135">
        <f>SUMIF(L:L,"P.N.722",N:N)</f>
        <v>3</v>
      </c>
      <c r="AA32" s="135">
        <f>SUMIF(O:O,"P.N.722",Q:Q)</f>
        <v>0</v>
      </c>
      <c r="AB32" s="135">
        <f>SUMIF(R:R,"P.N.722",T:T)</f>
        <v>0</v>
      </c>
      <c r="AC32" s="135">
        <f>SUMIF(U:U,"P.N.722",W:W)</f>
        <v>0</v>
      </c>
      <c r="AD32" s="135">
        <f>SUMIF(X:X,"P.N.722",Z:Z)</f>
        <v>0</v>
      </c>
      <c r="AE32" s="136">
        <f t="shared" ref="AE32" si="15">Z32+AA32+AB32+AC32+AD32</f>
        <v>3</v>
      </c>
      <c r="AF32" s="49"/>
      <c r="AG32" s="49"/>
      <c r="AH32" s="49"/>
    </row>
    <row r="33" spans="2:34" s="4" customFormat="1" ht="89.25" x14ac:dyDescent="0.25">
      <c r="B33" s="24" t="s">
        <v>185</v>
      </c>
      <c r="C33" s="13" t="s">
        <v>549</v>
      </c>
      <c r="D33" s="51" t="s">
        <v>1081</v>
      </c>
      <c r="E33" s="13" t="s">
        <v>500</v>
      </c>
      <c r="F33" s="13" t="s">
        <v>454</v>
      </c>
      <c r="G33" s="13" t="s">
        <v>531</v>
      </c>
      <c r="H33" s="13" t="s">
        <v>532</v>
      </c>
      <c r="I33" s="13" t="s">
        <v>457</v>
      </c>
      <c r="J33" s="13"/>
      <c r="K33" s="13" t="s">
        <v>47</v>
      </c>
      <c r="L33" s="31" t="s">
        <v>769</v>
      </c>
      <c r="M33" s="31" t="s">
        <v>770</v>
      </c>
      <c r="N33" s="42">
        <v>34503</v>
      </c>
      <c r="O33" s="42" t="s">
        <v>771</v>
      </c>
      <c r="P33" s="42" t="s">
        <v>772</v>
      </c>
      <c r="Q33" s="42">
        <v>81</v>
      </c>
      <c r="R33" s="31"/>
      <c r="S33" s="31"/>
      <c r="T33" s="31"/>
      <c r="U33" s="31"/>
      <c r="V33" s="31"/>
      <c r="W33" s="42"/>
      <c r="X33" s="49"/>
      <c r="Y33" s="135" t="s">
        <v>844</v>
      </c>
      <c r="Z33" s="135">
        <f>SUMIF(L:L,"P.N.723",N:N)</f>
        <v>2</v>
      </c>
      <c r="AA33" s="135">
        <f>SUMIF(O:O,"P.N.723",Q:Q)</f>
        <v>0</v>
      </c>
      <c r="AB33" s="135">
        <f>SUMIF(R:R,"P.N.723",T:T)</f>
        <v>0</v>
      </c>
      <c r="AC33" s="135">
        <f>SUMIF(U:U,"P.N.723",W:W)</f>
        <v>0</v>
      </c>
      <c r="AD33" s="135">
        <f>SUMIF(X:X,"P.N.723",Z:Z)</f>
        <v>0</v>
      </c>
      <c r="AE33" s="136">
        <f t="shared" ref="AE33" si="16">Z33+AA33+AB33+AC33+AD33</f>
        <v>2</v>
      </c>
      <c r="AF33" s="49"/>
      <c r="AG33" s="49"/>
      <c r="AH33" s="49"/>
    </row>
    <row r="34" spans="2:34" s="4" customFormat="1" ht="153" x14ac:dyDescent="0.25">
      <c r="B34" s="8" t="s">
        <v>186</v>
      </c>
      <c r="C34" s="21"/>
      <c r="D34" s="21" t="s">
        <v>187</v>
      </c>
      <c r="E34" s="21"/>
      <c r="F34" s="8"/>
      <c r="G34" s="21"/>
      <c r="H34" s="21"/>
      <c r="I34" s="21"/>
      <c r="J34" s="8"/>
      <c r="K34" s="21"/>
      <c r="L34" s="33"/>
      <c r="M34" s="33"/>
      <c r="N34" s="34"/>
      <c r="O34" s="33"/>
      <c r="P34" s="33"/>
      <c r="Q34" s="33"/>
      <c r="R34" s="34"/>
      <c r="S34" s="33"/>
      <c r="T34" s="33"/>
      <c r="U34" s="33"/>
      <c r="V34" s="34"/>
      <c r="W34" s="139"/>
      <c r="X34" s="49"/>
      <c r="Y34" s="135" t="s">
        <v>799</v>
      </c>
      <c r="Z34" s="135">
        <f>SUMIF(L:L,"P.N.817",N:N)</f>
        <v>213</v>
      </c>
      <c r="AA34" s="135">
        <f>SUMIF(O:O,"P.N.817",Q:Q)</f>
        <v>0</v>
      </c>
      <c r="AB34" s="135">
        <f>SUMIF(R:R,"P.N.817",T:T)</f>
        <v>0</v>
      </c>
      <c r="AC34" s="135">
        <f>SUMIF(U:U,"P.N.817",W:W)</f>
        <v>0</v>
      </c>
      <c r="AD34" s="135">
        <f>SUMIF(X:X,"P.N.817",Z:Z)</f>
        <v>0</v>
      </c>
      <c r="AE34" s="136">
        <f t="shared" ref="AE34" si="17">Z34+AA34+AB34+AC34+AD34</f>
        <v>213</v>
      </c>
      <c r="AF34" s="49"/>
      <c r="AG34" s="49"/>
      <c r="AH34" s="49"/>
    </row>
    <row r="35" spans="2:34" s="4" customFormat="1" ht="76.5" x14ac:dyDescent="0.25">
      <c r="B35" s="22" t="s">
        <v>188</v>
      </c>
      <c r="C35" s="22"/>
      <c r="D35" s="22" t="s">
        <v>189</v>
      </c>
      <c r="E35" s="22"/>
      <c r="F35" s="22"/>
      <c r="G35" s="22"/>
      <c r="H35" s="22"/>
      <c r="I35" s="22"/>
      <c r="J35" s="22"/>
      <c r="K35" s="22"/>
      <c r="L35" s="35"/>
      <c r="M35" s="35"/>
      <c r="N35" s="35"/>
      <c r="O35" s="35"/>
      <c r="P35" s="35"/>
      <c r="Q35" s="35"/>
      <c r="R35" s="35"/>
      <c r="S35" s="35"/>
      <c r="T35" s="35"/>
      <c r="U35" s="35"/>
      <c r="V35" s="35"/>
      <c r="W35" s="130"/>
      <c r="X35" s="49"/>
      <c r="Y35" s="135" t="s">
        <v>871</v>
      </c>
      <c r="Z35" s="135">
        <f>SUMIF(L:L,"P.N.910",N:N)</f>
        <v>0</v>
      </c>
      <c r="AA35" s="135">
        <f>SUMIF(O:O,"P.N.910",Q:Q)</f>
        <v>0</v>
      </c>
      <c r="AB35" s="135">
        <f>SUMIF(R:R,"P.N.910",T:T)</f>
        <v>5</v>
      </c>
      <c r="AC35" s="135">
        <f>SUMIF(U:U,"P.N.910",W:W)</f>
        <v>0</v>
      </c>
      <c r="AD35" s="135">
        <f>SUMIF(X:X,"P.N.910",Z:Z)</f>
        <v>0</v>
      </c>
      <c r="AE35" s="136">
        <f t="shared" ref="AE35" si="18">Z35+AA35+AB35+AC35+AD35</f>
        <v>5</v>
      </c>
      <c r="AF35" s="49"/>
      <c r="AG35" s="49"/>
      <c r="AH35" s="49"/>
    </row>
    <row r="36" spans="2:34" s="4" customFormat="1" ht="78.75" customHeight="1" x14ac:dyDescent="0.25">
      <c r="B36" s="22" t="s">
        <v>190</v>
      </c>
      <c r="C36" s="22"/>
      <c r="D36" s="22" t="s">
        <v>191</v>
      </c>
      <c r="E36" s="22"/>
      <c r="F36" s="22"/>
      <c r="G36" s="22"/>
      <c r="H36" s="22"/>
      <c r="I36" s="22"/>
      <c r="J36" s="22"/>
      <c r="K36" s="22"/>
      <c r="L36" s="35"/>
      <c r="M36" s="35"/>
      <c r="N36" s="35"/>
      <c r="O36" s="35"/>
      <c r="P36" s="35"/>
      <c r="Q36" s="35"/>
      <c r="R36" s="35"/>
      <c r="S36" s="35"/>
      <c r="T36" s="35"/>
      <c r="U36" s="35"/>
      <c r="V36" s="35"/>
      <c r="W36" s="130"/>
      <c r="X36" s="49"/>
      <c r="Y36" s="135" t="s">
        <v>915</v>
      </c>
      <c r="Z36" s="135">
        <f>SUMIF(L:L,"P.N.915",N:N)</f>
        <v>0</v>
      </c>
      <c r="AA36" s="135">
        <f>SUMIF(O:O,"P.N.915",Q:Q)</f>
        <v>0</v>
      </c>
      <c r="AB36" s="135">
        <f>SUMIF(R:R,"P.N.915",T:T)</f>
        <v>0</v>
      </c>
      <c r="AC36" s="135">
        <f>SUMIF(U:U,"P.N.915",W:W)</f>
        <v>0</v>
      </c>
      <c r="AD36" s="135">
        <f>SUMIF(X:X,"P.N.915",Z:Z)</f>
        <v>0</v>
      </c>
      <c r="AE36" s="136">
        <f t="shared" ref="AE36" si="19">Z36+AA36+AB36+AC36+AD36</f>
        <v>0</v>
      </c>
      <c r="AF36" s="49"/>
      <c r="AG36" s="49"/>
      <c r="AH36" s="49"/>
    </row>
    <row r="37" spans="2:34" s="4" customFormat="1" ht="63.75" x14ac:dyDescent="0.25">
      <c r="B37" s="25" t="s">
        <v>21</v>
      </c>
      <c r="C37" s="30"/>
      <c r="D37" s="25" t="s">
        <v>192</v>
      </c>
      <c r="E37" s="25"/>
      <c r="F37" s="25"/>
      <c r="G37" s="30"/>
      <c r="H37" s="25"/>
      <c r="I37" s="25"/>
      <c r="J37" s="25"/>
      <c r="K37" s="30"/>
      <c r="L37" s="36"/>
      <c r="M37" s="36"/>
      <c r="N37" s="36"/>
      <c r="O37" s="37"/>
      <c r="P37" s="36"/>
      <c r="Q37" s="36"/>
      <c r="R37" s="36"/>
      <c r="S37" s="37"/>
      <c r="T37" s="36"/>
      <c r="U37" s="36"/>
      <c r="V37" s="36"/>
      <c r="W37" s="140"/>
      <c r="X37" s="49"/>
      <c r="Y37" s="135" t="s">
        <v>781</v>
      </c>
      <c r="Z37" s="135">
        <f>SUMIF(L:L,"P.S.321",N:N)</f>
        <v>1.61</v>
      </c>
      <c r="AA37" s="135">
        <f>SUMIF(O:O,"P.S.321",Q:Q)</f>
        <v>0</v>
      </c>
      <c r="AB37" s="135">
        <f>SUMIF(R:R,"P.S.321",T:T)</f>
        <v>0</v>
      </c>
      <c r="AC37" s="135">
        <f>SUMIF(U:U,"P.S.321",W:W)</f>
        <v>0</v>
      </c>
      <c r="AD37" s="135">
        <f>SUMIF(X:X,"P.S.321",Z:Z)</f>
        <v>0</v>
      </c>
      <c r="AE37" s="136">
        <f t="shared" ref="AE37" si="20">Z37+AA37+AB37+AC37+AD37</f>
        <v>1.61</v>
      </c>
      <c r="AF37" s="49"/>
      <c r="AG37" s="49"/>
      <c r="AH37" s="49"/>
    </row>
    <row r="38" spans="2:34" s="4" customFormat="1" ht="63.75" x14ac:dyDescent="0.25">
      <c r="B38" s="8" t="s">
        <v>22</v>
      </c>
      <c r="C38" s="21"/>
      <c r="D38" s="21" t="s">
        <v>193</v>
      </c>
      <c r="E38" s="21"/>
      <c r="F38" s="8"/>
      <c r="G38" s="21"/>
      <c r="H38" s="21"/>
      <c r="I38" s="21"/>
      <c r="J38" s="8"/>
      <c r="K38" s="21"/>
      <c r="L38" s="33"/>
      <c r="M38" s="33"/>
      <c r="N38" s="34"/>
      <c r="O38" s="33"/>
      <c r="P38" s="33"/>
      <c r="Q38" s="33"/>
      <c r="R38" s="34"/>
      <c r="S38" s="33"/>
      <c r="T38" s="33"/>
      <c r="U38" s="33"/>
      <c r="V38" s="34"/>
      <c r="W38" s="139"/>
      <c r="X38" s="49"/>
      <c r="Y38" s="135" t="s">
        <v>784</v>
      </c>
      <c r="Z38" s="135">
        <f>SUMIF(L:L,"P.S.322",N:N)</f>
        <v>0.85</v>
      </c>
      <c r="AA38" s="135">
        <f>SUMIF(O:O,"P.S.322",Q:Q)</f>
        <v>0.81</v>
      </c>
      <c r="AB38" s="135">
        <f>SUMIF(R:R,"P.S.322",T:T)</f>
        <v>0</v>
      </c>
      <c r="AC38" s="135">
        <f>SUMIF(U:U,"P.S.322",W:W)</f>
        <v>0</v>
      </c>
      <c r="AD38" s="135">
        <f>SUMIF(X:X,"P.S.322",Z:Z)</f>
        <v>0</v>
      </c>
      <c r="AE38" s="136">
        <f t="shared" ref="AE38" si="21">Z38+AA38+AB38+AC38+AD38</f>
        <v>1.6600000000000001</v>
      </c>
      <c r="AF38" s="49"/>
      <c r="AG38" s="49"/>
      <c r="AH38" s="49"/>
    </row>
    <row r="39" spans="2:34" s="4" customFormat="1" ht="25.5" x14ac:dyDescent="0.25">
      <c r="B39" s="22" t="s">
        <v>194</v>
      </c>
      <c r="C39" s="22"/>
      <c r="D39" s="22" t="s">
        <v>535</v>
      </c>
      <c r="E39" s="22"/>
      <c r="F39" s="22"/>
      <c r="G39" s="22"/>
      <c r="H39" s="22"/>
      <c r="I39" s="22"/>
      <c r="J39" s="22"/>
      <c r="K39" s="22"/>
      <c r="L39" s="35"/>
      <c r="M39" s="35"/>
      <c r="N39" s="35"/>
      <c r="O39" s="35"/>
      <c r="P39" s="35"/>
      <c r="Q39" s="35"/>
      <c r="R39" s="35"/>
      <c r="S39" s="35"/>
      <c r="T39" s="35"/>
      <c r="U39" s="35"/>
      <c r="V39" s="35"/>
      <c r="W39" s="130"/>
      <c r="X39" s="49"/>
      <c r="Y39" s="135" t="s">
        <v>787</v>
      </c>
      <c r="Z39" s="135">
        <f>SUMIF(L:L,"P.S.323",N:N)</f>
        <v>3</v>
      </c>
      <c r="AA39" s="135">
        <f>SUMIF(O:O,"P.S.323",Q:Q)</f>
        <v>0</v>
      </c>
      <c r="AB39" s="135">
        <f>SUMIF(R:R,"P.S.323",T:T)</f>
        <v>0</v>
      </c>
      <c r="AC39" s="135">
        <f>SUMIF(U:U,"P.S.323",W:W)</f>
        <v>0</v>
      </c>
      <c r="AD39" s="135">
        <f>SUMIF(X:X,"P.S.323",Z:Z)</f>
        <v>0</v>
      </c>
      <c r="AE39" s="136">
        <f t="shared" ref="AE39" si="22">Z39+AA39+AB39+AC39+AD39</f>
        <v>3</v>
      </c>
      <c r="AF39" s="49"/>
      <c r="AG39" s="49"/>
      <c r="AH39" s="49"/>
    </row>
    <row r="40" spans="2:34" s="4" customFormat="1" ht="79.5" customHeight="1" x14ac:dyDescent="0.25">
      <c r="B40" s="13" t="s">
        <v>196</v>
      </c>
      <c r="C40" s="13" t="s">
        <v>548</v>
      </c>
      <c r="D40" s="59" t="s">
        <v>197</v>
      </c>
      <c r="E40" s="59" t="s">
        <v>500</v>
      </c>
      <c r="F40" s="59" t="s">
        <v>536</v>
      </c>
      <c r="G40" s="59" t="s">
        <v>501</v>
      </c>
      <c r="H40" s="59" t="s">
        <v>537</v>
      </c>
      <c r="I40" s="59" t="s">
        <v>457</v>
      </c>
      <c r="J40" s="59" t="s">
        <v>458</v>
      </c>
      <c r="K40" s="59" t="s">
        <v>47</v>
      </c>
      <c r="L40" s="42" t="s">
        <v>773</v>
      </c>
      <c r="M40" s="42" t="s">
        <v>774</v>
      </c>
      <c r="N40" s="42">
        <v>0.34699999999999998</v>
      </c>
      <c r="O40" s="31"/>
      <c r="P40" s="31"/>
      <c r="Q40" s="31"/>
      <c r="R40" s="31"/>
      <c r="S40" s="31"/>
      <c r="T40" s="31"/>
      <c r="U40" s="31"/>
      <c r="V40" s="31"/>
      <c r="W40" s="42"/>
      <c r="X40" s="49"/>
      <c r="Y40" s="135" t="s">
        <v>791</v>
      </c>
      <c r="Z40" s="135">
        <f>SUMIF(L:L,"P.S.325",N:N)</f>
        <v>4</v>
      </c>
      <c r="AA40" s="135">
        <f>SUMIF(O:O,"P.S.325",Q:Q)</f>
        <v>0</v>
      </c>
      <c r="AB40" s="135">
        <f>SUMIF(R:R,"P.S.325",T:T)</f>
        <v>0</v>
      </c>
      <c r="AC40" s="135">
        <f>SUMIF(U:U,"P.S.325",W:W)</f>
        <v>0</v>
      </c>
      <c r="AD40" s="135">
        <f>SUMIF(X:X,"P.S.325",Z:Z)</f>
        <v>0</v>
      </c>
      <c r="AE40" s="136">
        <f t="shared" ref="AE40" si="23">Z40+AA40+AB40+AC40+AD40</f>
        <v>4</v>
      </c>
      <c r="AF40" s="49"/>
      <c r="AG40" s="49"/>
      <c r="AH40" s="49"/>
    </row>
    <row r="41" spans="2:34" s="4" customFormat="1" ht="76.5" customHeight="1" x14ac:dyDescent="0.25">
      <c r="B41" s="13" t="s">
        <v>198</v>
      </c>
      <c r="C41" s="13" t="s">
        <v>550</v>
      </c>
      <c r="D41" s="59" t="s">
        <v>199</v>
      </c>
      <c r="E41" s="59" t="s">
        <v>538</v>
      </c>
      <c r="F41" s="59" t="s">
        <v>536</v>
      </c>
      <c r="G41" s="59" t="s">
        <v>539</v>
      </c>
      <c r="H41" s="59" t="s">
        <v>537</v>
      </c>
      <c r="I41" s="59" t="s">
        <v>457</v>
      </c>
      <c r="J41" s="59" t="s">
        <v>458</v>
      </c>
      <c r="K41" s="59" t="s">
        <v>47</v>
      </c>
      <c r="L41" s="42" t="s">
        <v>778</v>
      </c>
      <c r="M41" s="42" t="s">
        <v>779</v>
      </c>
      <c r="N41" s="42">
        <v>0.125</v>
      </c>
      <c r="O41" s="42" t="s">
        <v>776</v>
      </c>
      <c r="P41" s="42" t="s">
        <v>777</v>
      </c>
      <c r="Q41" s="42">
        <v>1</v>
      </c>
      <c r="R41" s="31"/>
      <c r="S41" s="31"/>
      <c r="T41" s="31"/>
      <c r="U41" s="31"/>
      <c r="V41" s="31"/>
      <c r="W41" s="42"/>
      <c r="X41" s="49"/>
      <c r="Y41" s="135" t="s">
        <v>814</v>
      </c>
      <c r="Z41" s="135">
        <f>SUMIF(L:L,"P.S.328",N:N)</f>
        <v>124.5</v>
      </c>
      <c r="AA41" s="135">
        <f>SUMIF(O:O,"P.S.328",Q:Q)</f>
        <v>0</v>
      </c>
      <c r="AB41" s="135">
        <f>SUMIF(R:R,"P.S.328",T:T)</f>
        <v>0</v>
      </c>
      <c r="AC41" s="135">
        <f>SUMIF(U:U,"P.S.328",W:W)</f>
        <v>0</v>
      </c>
      <c r="AD41" s="135">
        <f>SUMIF(X:X,"P.S.328",Z:Z)</f>
        <v>0</v>
      </c>
      <c r="AE41" s="136">
        <f t="shared" ref="AE41" si="24">Z41+AA41+AB41+AC41+AD41</f>
        <v>124.5</v>
      </c>
      <c r="AF41" s="49"/>
      <c r="AG41" s="49"/>
      <c r="AH41" s="49"/>
    </row>
    <row r="42" spans="2:34" s="4" customFormat="1" ht="114.75" x14ac:dyDescent="0.25">
      <c r="B42" s="24" t="s">
        <v>200</v>
      </c>
      <c r="C42" s="13" t="s">
        <v>1078</v>
      </c>
      <c r="D42" s="59" t="s">
        <v>201</v>
      </c>
      <c r="E42" s="59" t="s">
        <v>453</v>
      </c>
      <c r="F42" s="59" t="s">
        <v>536</v>
      </c>
      <c r="G42" s="59" t="s">
        <v>460</v>
      </c>
      <c r="H42" s="59" t="s">
        <v>537</v>
      </c>
      <c r="I42" s="59" t="s">
        <v>457</v>
      </c>
      <c r="J42" s="59" t="s">
        <v>458</v>
      </c>
      <c r="K42" s="59" t="s">
        <v>47</v>
      </c>
      <c r="L42" s="42" t="s">
        <v>778</v>
      </c>
      <c r="M42" s="42" t="s">
        <v>779</v>
      </c>
      <c r="N42" s="86">
        <v>1.0089999999999999</v>
      </c>
      <c r="O42" s="38" t="s">
        <v>776</v>
      </c>
      <c r="P42" s="38" t="s">
        <v>777</v>
      </c>
      <c r="Q42" s="86">
        <v>4</v>
      </c>
      <c r="R42" s="38" t="s">
        <v>773</v>
      </c>
      <c r="S42" s="38" t="s">
        <v>774</v>
      </c>
      <c r="T42" s="38">
        <v>0.23599999999999999</v>
      </c>
      <c r="U42" s="80"/>
      <c r="V42" s="80"/>
      <c r="W42" s="82"/>
      <c r="X42" s="49"/>
      <c r="Y42" s="135" t="s">
        <v>819</v>
      </c>
      <c r="Z42" s="135">
        <f>SUMIF(L:L,"P.S.329",N:N)</f>
        <v>7708.75</v>
      </c>
      <c r="AA42" s="135">
        <f>SUMIF(O:O,"P.S.329",Q:Q)</f>
        <v>0</v>
      </c>
      <c r="AB42" s="135">
        <f>SUMIF(R:R,"P.S.329",T:T)</f>
        <v>0</v>
      </c>
      <c r="AC42" s="135">
        <f>SUMIF(U:U,"P.S.329",W:W)</f>
        <v>0</v>
      </c>
      <c r="AD42" s="135">
        <f>SUMIF(X:X,"P.S.329",Z:Z)</f>
        <v>0</v>
      </c>
      <c r="AE42" s="136">
        <f t="shared" ref="AE42" si="25">Z42+AA42+AB42+AC42+AD42</f>
        <v>7708.75</v>
      </c>
      <c r="AF42" s="49"/>
      <c r="AG42" s="49"/>
      <c r="AH42" s="49"/>
    </row>
    <row r="43" spans="2:34" s="4" customFormat="1" ht="89.25" x14ac:dyDescent="0.25">
      <c r="B43" s="24" t="s">
        <v>202</v>
      </c>
      <c r="C43" s="13" t="s">
        <v>1077</v>
      </c>
      <c r="D43" s="59" t="s">
        <v>203</v>
      </c>
      <c r="E43" s="59" t="s">
        <v>538</v>
      </c>
      <c r="F43" s="59" t="s">
        <v>536</v>
      </c>
      <c r="G43" s="59" t="s">
        <v>539</v>
      </c>
      <c r="H43" s="59" t="s">
        <v>537</v>
      </c>
      <c r="I43" s="59" t="s">
        <v>457</v>
      </c>
      <c r="J43" s="59" t="s">
        <v>458</v>
      </c>
      <c r="K43" s="59" t="s">
        <v>47</v>
      </c>
      <c r="L43" s="42" t="s">
        <v>778</v>
      </c>
      <c r="M43" s="42" t="s">
        <v>779</v>
      </c>
      <c r="N43" s="86">
        <v>1.23</v>
      </c>
      <c r="O43" s="38" t="s">
        <v>776</v>
      </c>
      <c r="P43" s="38" t="s">
        <v>777</v>
      </c>
      <c r="Q43" s="38">
        <v>1</v>
      </c>
      <c r="R43" s="38"/>
      <c r="S43" s="38"/>
      <c r="T43" s="38"/>
      <c r="U43" s="31"/>
      <c r="V43" s="31"/>
      <c r="W43" s="42"/>
      <c r="X43" s="49"/>
      <c r="Y43" s="135" t="s">
        <v>801</v>
      </c>
      <c r="Z43" s="135">
        <f>SUMIF(L:L,"P.S.333",N:N)</f>
        <v>25.74</v>
      </c>
      <c r="AA43" s="135">
        <f>SUMIF(O:O,"P.S.333",Q:Q)</f>
        <v>0</v>
      </c>
      <c r="AB43" s="135">
        <f>SUMIF(R:R,"P.S.333",T:T)</f>
        <v>0.107</v>
      </c>
      <c r="AC43" s="135">
        <f>SUMIF(U:U,"P.S.333",W:W)</f>
        <v>2.74</v>
      </c>
      <c r="AD43" s="135">
        <f>SUMIF(X:X,"P.S.333",Z:Z)</f>
        <v>0</v>
      </c>
      <c r="AE43" s="136">
        <f t="shared" ref="AE43" si="26">Z43+AA43+AB43+AC43+AD43</f>
        <v>28.586999999999996</v>
      </c>
      <c r="AF43" s="49"/>
      <c r="AG43" s="49"/>
      <c r="AH43" s="49"/>
    </row>
    <row r="44" spans="2:34" s="4" customFormat="1" ht="63.75" x14ac:dyDescent="0.25">
      <c r="B44" s="24" t="s">
        <v>204</v>
      </c>
      <c r="C44" s="13" t="s">
        <v>1079</v>
      </c>
      <c r="D44" s="59" t="s">
        <v>205</v>
      </c>
      <c r="E44" s="59" t="s">
        <v>468</v>
      </c>
      <c r="F44" s="59" t="s">
        <v>536</v>
      </c>
      <c r="G44" s="59" t="s">
        <v>469</v>
      </c>
      <c r="H44" s="59" t="s">
        <v>537</v>
      </c>
      <c r="I44" s="59" t="s">
        <v>457</v>
      </c>
      <c r="J44" s="59" t="s">
        <v>458</v>
      </c>
      <c r="K44" s="59" t="s">
        <v>47</v>
      </c>
      <c r="L44" s="42" t="s">
        <v>778</v>
      </c>
      <c r="M44" s="42" t="s">
        <v>779</v>
      </c>
      <c r="N44" s="86">
        <v>0.71</v>
      </c>
      <c r="O44" s="38" t="s">
        <v>776</v>
      </c>
      <c r="P44" s="38" t="s">
        <v>777</v>
      </c>
      <c r="Q44" s="38">
        <v>1</v>
      </c>
      <c r="R44" s="38"/>
      <c r="S44" s="38"/>
      <c r="T44" s="38"/>
      <c r="U44" s="31"/>
      <c r="V44" s="31"/>
      <c r="W44" s="42"/>
      <c r="X44" s="49"/>
      <c r="Y44" s="135" t="s">
        <v>793</v>
      </c>
      <c r="Z44" s="135">
        <f>SUMIF(L:L,"P.S.335",N:N)</f>
        <v>4</v>
      </c>
      <c r="AA44" s="135">
        <f>SUMIF(O:O,"P.S.335",Q:Q)</f>
        <v>0</v>
      </c>
      <c r="AB44" s="135">
        <f>SUMIF(R:R,"P.S.335",T:T)</f>
        <v>0</v>
      </c>
      <c r="AC44" s="135">
        <f>SUMIF(U:U,"P.S.335",W:W)</f>
        <v>0</v>
      </c>
      <c r="AD44" s="135">
        <f>SUMIF(X:X,"P.S.335",Z:Z)</f>
        <v>0</v>
      </c>
      <c r="AE44" s="136">
        <f t="shared" ref="AE44" si="27">Z44+AA44+AB44+AC44+AD44</f>
        <v>4</v>
      </c>
      <c r="AF44" s="49"/>
      <c r="AG44" s="49"/>
      <c r="AH44" s="49"/>
    </row>
    <row r="45" spans="2:34" s="4" customFormat="1" ht="89.25" x14ac:dyDescent="0.25">
      <c r="B45" s="13" t="s">
        <v>206</v>
      </c>
      <c r="C45" s="13" t="s">
        <v>1080</v>
      </c>
      <c r="D45" s="59" t="s">
        <v>540</v>
      </c>
      <c r="E45" s="59" t="s">
        <v>507</v>
      </c>
      <c r="F45" s="59" t="s">
        <v>536</v>
      </c>
      <c r="G45" s="59" t="s">
        <v>541</v>
      </c>
      <c r="H45" s="59" t="s">
        <v>537</v>
      </c>
      <c r="I45" s="59" t="s">
        <v>457</v>
      </c>
      <c r="J45" s="59" t="s">
        <v>458</v>
      </c>
      <c r="K45" s="59" t="s">
        <v>47</v>
      </c>
      <c r="L45" s="42" t="s">
        <v>778</v>
      </c>
      <c r="M45" s="42" t="s">
        <v>779</v>
      </c>
      <c r="N45" s="42">
        <v>0.8</v>
      </c>
      <c r="O45" s="31" t="s">
        <v>776</v>
      </c>
      <c r="P45" s="31" t="s">
        <v>777</v>
      </c>
      <c r="Q45" s="31">
        <v>1</v>
      </c>
      <c r="R45" s="31"/>
      <c r="S45" s="31"/>
      <c r="T45" s="31"/>
      <c r="U45" s="31"/>
      <c r="V45" s="31"/>
      <c r="W45" s="42"/>
      <c r="X45" s="49"/>
      <c r="Y45" s="135" t="s">
        <v>830</v>
      </c>
      <c r="Z45" s="135">
        <f>SUMIF(L:L,"P.S.338",N:N)</f>
        <v>5</v>
      </c>
      <c r="AA45" s="135">
        <f>SUMIF(O:O,"P.S.338",Q:Q)</f>
        <v>1</v>
      </c>
      <c r="AB45" s="135">
        <f>SUMIF(R:R,"P.S.338",T:T)</f>
        <v>0</v>
      </c>
      <c r="AC45" s="135">
        <f>SUMIF(U:U,"P.S.338",W:W)</f>
        <v>0</v>
      </c>
      <c r="AD45" s="135">
        <f>SUMIF(X:X,"P.S.338",Z:Z)</f>
        <v>0</v>
      </c>
      <c r="AE45" s="136">
        <f t="shared" ref="AE45" si="28">Z45+AA45+AB45+AC45+AD45</f>
        <v>6</v>
      </c>
      <c r="AF45" s="49"/>
      <c r="AG45" s="49"/>
      <c r="AH45" s="49"/>
    </row>
    <row r="46" spans="2:34" s="4" customFormat="1" ht="63.75" x14ac:dyDescent="0.25">
      <c r="B46" s="24" t="s">
        <v>208</v>
      </c>
      <c r="C46" s="13" t="s">
        <v>551</v>
      </c>
      <c r="D46" s="59" t="s">
        <v>209</v>
      </c>
      <c r="E46" s="59" t="s">
        <v>503</v>
      </c>
      <c r="F46" s="59" t="s">
        <v>536</v>
      </c>
      <c r="G46" s="59" t="s">
        <v>543</v>
      </c>
      <c r="H46" s="59" t="s">
        <v>537</v>
      </c>
      <c r="I46" s="59" t="s">
        <v>457</v>
      </c>
      <c r="J46" s="59" t="s">
        <v>458</v>
      </c>
      <c r="K46" s="59" t="s">
        <v>47</v>
      </c>
      <c r="L46" s="42" t="s">
        <v>778</v>
      </c>
      <c r="M46" s="42" t="s">
        <v>780</v>
      </c>
      <c r="N46" s="86">
        <v>1.36</v>
      </c>
      <c r="O46" s="42" t="s">
        <v>776</v>
      </c>
      <c r="P46" s="42" t="s">
        <v>777</v>
      </c>
      <c r="Q46" s="42">
        <v>1</v>
      </c>
      <c r="R46" s="31"/>
      <c r="S46" s="31"/>
      <c r="T46" s="31"/>
      <c r="U46" s="31"/>
      <c r="V46" s="31"/>
      <c r="W46" s="42"/>
      <c r="X46" s="49"/>
      <c r="Y46" s="135" t="s">
        <v>776</v>
      </c>
      <c r="Z46" s="135">
        <f>SUMIF(L:L,"P.S.342",N:N)</f>
        <v>3</v>
      </c>
      <c r="AA46" s="135">
        <f>SUMIF(O:O,"P.S.342",Q:Q)</f>
        <v>10</v>
      </c>
      <c r="AB46" s="135">
        <f>SUMIF(R:R,"P.S.342",T:T)</f>
        <v>0</v>
      </c>
      <c r="AC46" s="135">
        <f>SUMIF(U:U,"P.S.342",W:W)</f>
        <v>0</v>
      </c>
      <c r="AD46" s="135">
        <f>SUMIF(X:X,"P.S.342",Z:Z)</f>
        <v>0</v>
      </c>
      <c r="AE46" s="136">
        <f t="shared" ref="AE46" si="29">Z46+AA46+AB46+AC46+AD46</f>
        <v>13</v>
      </c>
      <c r="AF46" s="49"/>
      <c r="AG46" s="49"/>
      <c r="AH46" s="49"/>
    </row>
    <row r="47" spans="2:34" s="4" customFormat="1" ht="89.25" x14ac:dyDescent="0.25">
      <c r="B47" s="13" t="s">
        <v>210</v>
      </c>
      <c r="C47" s="13" t="s">
        <v>552</v>
      </c>
      <c r="D47" s="59" t="s">
        <v>211</v>
      </c>
      <c r="E47" s="59" t="s">
        <v>538</v>
      </c>
      <c r="F47" s="59" t="s">
        <v>536</v>
      </c>
      <c r="G47" s="59" t="s">
        <v>539</v>
      </c>
      <c r="H47" s="59" t="s">
        <v>537</v>
      </c>
      <c r="I47" s="59" t="s">
        <v>457</v>
      </c>
      <c r="J47" s="59" t="s">
        <v>458</v>
      </c>
      <c r="K47" s="59" t="s">
        <v>47</v>
      </c>
      <c r="L47" s="42" t="s">
        <v>778</v>
      </c>
      <c r="M47" s="42" t="s">
        <v>779</v>
      </c>
      <c r="N47" s="42">
        <v>0.13800000000000001</v>
      </c>
      <c r="O47" s="31"/>
      <c r="P47" s="31"/>
      <c r="Q47" s="31"/>
      <c r="R47" s="31"/>
      <c r="S47" s="31"/>
      <c r="T47" s="31"/>
      <c r="U47" s="31"/>
      <c r="V47" s="31"/>
      <c r="W47" s="42"/>
      <c r="X47" s="49"/>
      <c r="Y47" s="135" t="s">
        <v>857</v>
      </c>
      <c r="Z47" s="135">
        <f>SUMIF(L:L,"P.S.361",N:N)</f>
        <v>4</v>
      </c>
      <c r="AA47" s="135">
        <f>SUMIF(O:O,"P.S.361",Q:Q)</f>
        <v>0</v>
      </c>
      <c r="AB47" s="135">
        <f>SUMIF(R:R,"P.S.361",T:T)</f>
        <v>0</v>
      </c>
      <c r="AC47" s="135">
        <f>SUMIF(U:U,"P.S.361",W:W)</f>
        <v>0</v>
      </c>
      <c r="AD47" s="135">
        <f>SUMIF(X:X,"P.S.361",Z:Z)</f>
        <v>0</v>
      </c>
      <c r="AE47" s="136">
        <f t="shared" ref="AE47" si="30">Z47+AA47+AB47+AC47+AD47</f>
        <v>4</v>
      </c>
      <c r="AF47" s="49"/>
      <c r="AG47" s="49"/>
      <c r="AH47" s="49"/>
    </row>
    <row r="48" spans="2:34" s="4" customFormat="1" ht="114.75" x14ac:dyDescent="0.25">
      <c r="B48" s="51" t="s">
        <v>1028</v>
      </c>
      <c r="C48" s="59" t="s">
        <v>1076</v>
      </c>
      <c r="D48" s="59" t="s">
        <v>1035</v>
      </c>
      <c r="E48" s="51" t="s">
        <v>453</v>
      </c>
      <c r="F48" s="51" t="s">
        <v>536</v>
      </c>
      <c r="G48" s="51" t="s">
        <v>460</v>
      </c>
      <c r="H48" s="51" t="s">
        <v>537</v>
      </c>
      <c r="I48" s="51" t="s">
        <v>457</v>
      </c>
      <c r="J48" s="51" t="s">
        <v>458</v>
      </c>
      <c r="K48" s="51" t="s">
        <v>47</v>
      </c>
      <c r="L48" s="42" t="s">
        <v>778</v>
      </c>
      <c r="M48" s="42" t="s">
        <v>779</v>
      </c>
      <c r="N48" s="116">
        <v>1.2</v>
      </c>
      <c r="O48" s="42" t="s">
        <v>776</v>
      </c>
      <c r="P48" s="42" t="s">
        <v>777</v>
      </c>
      <c r="Q48" s="42">
        <v>1</v>
      </c>
      <c r="R48" s="42"/>
      <c r="S48" s="31"/>
      <c r="T48" s="31"/>
      <c r="U48" s="31"/>
      <c r="V48" s="31"/>
      <c r="W48" s="42"/>
      <c r="X48" s="49"/>
      <c r="Y48" s="135"/>
      <c r="Z48" s="135"/>
      <c r="AA48" s="135"/>
      <c r="AB48" s="135"/>
      <c r="AC48" s="135"/>
      <c r="AD48" s="135"/>
      <c r="AE48" s="136"/>
      <c r="AF48" s="49"/>
      <c r="AG48" s="49"/>
      <c r="AH48" s="49"/>
    </row>
    <row r="49" spans="2:34" s="4" customFormat="1" ht="51" x14ac:dyDescent="0.25">
      <c r="B49" s="51" t="s">
        <v>1029</v>
      </c>
      <c r="C49" s="51" t="s">
        <v>1036</v>
      </c>
      <c r="D49" s="42" t="s">
        <v>1033</v>
      </c>
      <c r="E49" s="42" t="s">
        <v>500</v>
      </c>
      <c r="F49" s="42" t="s">
        <v>536</v>
      </c>
      <c r="G49" s="42" t="s">
        <v>501</v>
      </c>
      <c r="H49" s="42" t="s">
        <v>537</v>
      </c>
      <c r="I49" s="42" t="s">
        <v>457</v>
      </c>
      <c r="J49" s="42" t="s">
        <v>458</v>
      </c>
      <c r="K49" s="42" t="s">
        <v>47</v>
      </c>
      <c r="L49" s="42" t="s">
        <v>778</v>
      </c>
      <c r="M49" s="42" t="s">
        <v>779</v>
      </c>
      <c r="N49" s="116">
        <v>0.2</v>
      </c>
      <c r="O49" s="42"/>
      <c r="P49" s="42"/>
      <c r="Q49" s="42"/>
      <c r="R49" s="42"/>
      <c r="S49" s="115"/>
      <c r="T49" s="31"/>
      <c r="U49" s="31"/>
      <c r="V49" s="31"/>
      <c r="W49" s="42"/>
      <c r="X49" s="49"/>
      <c r="Y49" s="135"/>
      <c r="Z49" s="135"/>
      <c r="AA49" s="135"/>
      <c r="AB49" s="135"/>
      <c r="AC49" s="135"/>
      <c r="AD49" s="135"/>
      <c r="AE49" s="136"/>
      <c r="AF49" s="49"/>
      <c r="AG49" s="49"/>
      <c r="AH49" s="49"/>
    </row>
    <row r="50" spans="2:34" s="4" customFormat="1" ht="51" x14ac:dyDescent="0.25">
      <c r="B50" s="51" t="s">
        <v>1030</v>
      </c>
      <c r="C50" s="51" t="s">
        <v>1074</v>
      </c>
      <c r="D50" s="42" t="s">
        <v>1034</v>
      </c>
      <c r="E50" s="42" t="s">
        <v>500</v>
      </c>
      <c r="F50" s="42" t="s">
        <v>536</v>
      </c>
      <c r="G50" s="42" t="s">
        <v>501</v>
      </c>
      <c r="H50" s="42" t="s">
        <v>537</v>
      </c>
      <c r="I50" s="42" t="s">
        <v>457</v>
      </c>
      <c r="J50" s="42" t="s">
        <v>47</v>
      </c>
      <c r="K50" s="42" t="s">
        <v>47</v>
      </c>
      <c r="L50" s="42" t="s">
        <v>776</v>
      </c>
      <c r="M50" s="42" t="s">
        <v>777</v>
      </c>
      <c r="N50" s="42">
        <v>1</v>
      </c>
      <c r="O50" s="42"/>
      <c r="P50" s="42"/>
      <c r="Q50" s="42"/>
      <c r="R50" s="42"/>
      <c r="S50" s="31"/>
      <c r="T50" s="31"/>
      <c r="U50" s="31"/>
      <c r="V50" s="31"/>
      <c r="W50" s="42"/>
      <c r="X50" s="49"/>
      <c r="Y50" s="135"/>
      <c r="Z50" s="135"/>
      <c r="AA50" s="135"/>
      <c r="AB50" s="135"/>
      <c r="AC50" s="135"/>
      <c r="AD50" s="135"/>
      <c r="AE50" s="136"/>
      <c r="AF50" s="49"/>
      <c r="AG50" s="49"/>
      <c r="AH50" s="49"/>
    </row>
    <row r="51" spans="2:34" s="4" customFormat="1" ht="51" x14ac:dyDescent="0.25">
      <c r="B51" s="51" t="s">
        <v>1031</v>
      </c>
      <c r="C51" s="51" t="s">
        <v>1075</v>
      </c>
      <c r="D51" s="42" t="s">
        <v>1038</v>
      </c>
      <c r="E51" s="42" t="s">
        <v>468</v>
      </c>
      <c r="F51" s="42" t="s">
        <v>536</v>
      </c>
      <c r="G51" s="42" t="s">
        <v>469</v>
      </c>
      <c r="H51" s="42" t="s">
        <v>537</v>
      </c>
      <c r="I51" s="42" t="s">
        <v>457</v>
      </c>
      <c r="J51" s="42" t="s">
        <v>47</v>
      </c>
      <c r="K51" s="42" t="s">
        <v>47</v>
      </c>
      <c r="L51" s="42" t="s">
        <v>776</v>
      </c>
      <c r="M51" s="42" t="s">
        <v>777</v>
      </c>
      <c r="N51" s="42">
        <v>1</v>
      </c>
      <c r="O51" s="42"/>
      <c r="P51" s="42"/>
      <c r="Q51" s="42"/>
      <c r="R51" s="42"/>
      <c r="S51" s="31"/>
      <c r="T51" s="31"/>
      <c r="U51" s="31"/>
      <c r="V51" s="31"/>
      <c r="W51" s="42"/>
      <c r="X51" s="49"/>
      <c r="Y51" s="135"/>
      <c r="Z51" s="135"/>
      <c r="AA51" s="135"/>
      <c r="AB51" s="135"/>
      <c r="AC51" s="135"/>
      <c r="AD51" s="135"/>
      <c r="AE51" s="136"/>
      <c r="AF51" s="49"/>
      <c r="AG51" s="49"/>
      <c r="AH51" s="49"/>
    </row>
    <row r="52" spans="2:34" s="4" customFormat="1" ht="51" x14ac:dyDescent="0.25">
      <c r="B52" s="51" t="s">
        <v>1032</v>
      </c>
      <c r="C52" s="51" t="s">
        <v>1072</v>
      </c>
      <c r="D52" s="59" t="s">
        <v>1073</v>
      </c>
      <c r="E52" s="59" t="s">
        <v>538</v>
      </c>
      <c r="F52" s="59" t="s">
        <v>536</v>
      </c>
      <c r="G52" s="59" t="s">
        <v>539</v>
      </c>
      <c r="H52" s="59" t="s">
        <v>537</v>
      </c>
      <c r="I52" s="59" t="s">
        <v>457</v>
      </c>
      <c r="J52" s="59" t="s">
        <v>47</v>
      </c>
      <c r="K52" s="59" t="s">
        <v>47</v>
      </c>
      <c r="L52" s="42" t="s">
        <v>776</v>
      </c>
      <c r="M52" s="42" t="s">
        <v>777</v>
      </c>
      <c r="N52" s="42">
        <v>1</v>
      </c>
      <c r="O52" s="42"/>
      <c r="P52" s="42"/>
      <c r="Q52" s="42"/>
      <c r="R52" s="42"/>
      <c r="S52" s="31"/>
      <c r="T52" s="31"/>
      <c r="U52" s="31"/>
      <c r="V52" s="31"/>
      <c r="W52" s="42"/>
      <c r="X52" s="49"/>
      <c r="Y52" s="135"/>
      <c r="Z52" s="135"/>
      <c r="AA52" s="135"/>
      <c r="AB52" s="135"/>
      <c r="AC52" s="135"/>
      <c r="AD52" s="135"/>
      <c r="AE52" s="136"/>
      <c r="AF52" s="49"/>
      <c r="AG52" s="49"/>
      <c r="AH52" s="49"/>
    </row>
    <row r="53" spans="2:34" s="4" customFormat="1" ht="113.25" customHeight="1" x14ac:dyDescent="0.25">
      <c r="B53" s="8" t="s">
        <v>212</v>
      </c>
      <c r="C53" s="21"/>
      <c r="D53" s="21" t="s">
        <v>213</v>
      </c>
      <c r="E53" s="8"/>
      <c r="F53" s="21"/>
      <c r="G53" s="21"/>
      <c r="H53" s="8"/>
      <c r="I53" s="21"/>
      <c r="J53" s="21"/>
      <c r="K53" s="8"/>
      <c r="L53" s="33"/>
      <c r="M53" s="33"/>
      <c r="N53" s="34"/>
      <c r="O53" s="33"/>
      <c r="P53" s="33"/>
      <c r="Q53" s="34"/>
      <c r="R53" s="33"/>
      <c r="S53" s="33"/>
      <c r="T53" s="34"/>
      <c r="U53" s="33"/>
      <c r="V53" s="33"/>
      <c r="W53" s="133"/>
      <c r="X53" s="49"/>
      <c r="Y53" s="135" t="s">
        <v>863</v>
      </c>
      <c r="Z53" s="135">
        <f>SUMIF(L:L,"P.S.362",N:N)</f>
        <v>135</v>
      </c>
      <c r="AA53" s="135">
        <f>SUMIF(O:O,"P.S.362",Q:Q)</f>
        <v>0</v>
      </c>
      <c r="AB53" s="135">
        <f>SUMIF(R:R,"P.S.362",T:T)</f>
        <v>0</v>
      </c>
      <c r="AC53" s="135">
        <f>SUMIF(U:U,"P.S.362",W:W)</f>
        <v>0</v>
      </c>
      <c r="AD53" s="135">
        <f>SUMIF(X:X,"P.S.362",Z:Z)</f>
        <v>0</v>
      </c>
      <c r="AE53" s="136">
        <f t="shared" ref="AE53" si="31">Z53+AA53+AB53+AC53+AD53</f>
        <v>135</v>
      </c>
      <c r="AF53" s="49"/>
      <c r="AG53" s="49"/>
      <c r="AH53" s="49"/>
    </row>
    <row r="54" spans="2:34" s="4" customFormat="1" ht="51" x14ac:dyDescent="0.25">
      <c r="B54" s="22" t="s">
        <v>214</v>
      </c>
      <c r="C54" s="22"/>
      <c r="D54" s="22" t="s">
        <v>215</v>
      </c>
      <c r="E54" s="22"/>
      <c r="F54" s="22"/>
      <c r="G54" s="22"/>
      <c r="H54" s="22"/>
      <c r="I54" s="22"/>
      <c r="J54" s="22"/>
      <c r="K54" s="22"/>
      <c r="L54" s="35"/>
      <c r="M54" s="35"/>
      <c r="N54" s="35"/>
      <c r="O54" s="35"/>
      <c r="P54" s="35"/>
      <c r="Q54" s="35"/>
      <c r="R54" s="35"/>
      <c r="S54" s="35"/>
      <c r="T54" s="35"/>
      <c r="U54" s="35"/>
      <c r="V54" s="35"/>
      <c r="W54" s="130"/>
      <c r="X54" s="49"/>
      <c r="Y54" s="135" t="s">
        <v>769</v>
      </c>
      <c r="Z54" s="135">
        <f>SUMIF(L:L,"P.S.364",N:N)</f>
        <v>34503</v>
      </c>
      <c r="AA54" s="135">
        <f>SUMIF(O:O,"P.S.364",Q:Q)</f>
        <v>0</v>
      </c>
      <c r="AB54" s="135">
        <f>SUMIF(R:R,"P.S.364",T:T)</f>
        <v>0</v>
      </c>
      <c r="AC54" s="135">
        <f>SUMIF(U:U,"P.S.364",W:W)</f>
        <v>0</v>
      </c>
      <c r="AD54" s="135">
        <f>SUMIF(X:X,"P.S.364",Z:Z)</f>
        <v>0</v>
      </c>
      <c r="AE54" s="136">
        <f t="shared" ref="AE54" si="32">Z54+AA54+AB54+AC54+AD54</f>
        <v>34503</v>
      </c>
      <c r="AF54" s="49"/>
      <c r="AG54" s="49"/>
      <c r="AH54" s="49"/>
    </row>
    <row r="55" spans="2:34" s="4" customFormat="1" ht="114" customHeight="1" x14ac:dyDescent="0.25">
      <c r="B55" s="13" t="s">
        <v>216</v>
      </c>
      <c r="C55" s="13" t="s">
        <v>560</v>
      </c>
      <c r="D55" s="13" t="s">
        <v>1027</v>
      </c>
      <c r="E55" s="13" t="s">
        <v>500</v>
      </c>
      <c r="F55" s="13" t="s">
        <v>536</v>
      </c>
      <c r="G55" s="13" t="s">
        <v>531</v>
      </c>
      <c r="H55" s="13" t="s">
        <v>556</v>
      </c>
      <c r="I55" s="13" t="s">
        <v>457</v>
      </c>
      <c r="J55" s="13" t="s">
        <v>458</v>
      </c>
      <c r="K55" s="13" t="s">
        <v>47</v>
      </c>
      <c r="L55" s="31" t="s">
        <v>781</v>
      </c>
      <c r="M55" s="31" t="s">
        <v>782</v>
      </c>
      <c r="N55" s="31">
        <v>0.88</v>
      </c>
      <c r="O55" s="31"/>
      <c r="P55" s="31"/>
      <c r="Q55" s="31"/>
      <c r="R55" s="31"/>
      <c r="S55" s="31"/>
      <c r="T55" s="31"/>
      <c r="U55" s="31"/>
      <c r="V55" s="31"/>
      <c r="W55" s="42"/>
      <c r="X55" s="49"/>
      <c r="Y55" s="135" t="s">
        <v>771</v>
      </c>
      <c r="Z55" s="135">
        <f>SUMIF(L:L,"P.S.365",N:N)</f>
        <v>0</v>
      </c>
      <c r="AA55" s="135">
        <f>SUMIF(O:O,"P.S.365",Q:Q)</f>
        <v>81</v>
      </c>
      <c r="AB55" s="135">
        <f>SUMIF(R:R,"P.S.365",T:T)</f>
        <v>0</v>
      </c>
      <c r="AC55" s="135">
        <f>SUMIF(U:U,"P.S.365",W:W)</f>
        <v>0</v>
      </c>
      <c r="AD55" s="135">
        <f>SUMIF(X:X,"P.S.365",Z:Z)</f>
        <v>0</v>
      </c>
      <c r="AE55" s="136">
        <f t="shared" ref="AE55" si="33">Z55+AA55+AB55+AC55+AD55</f>
        <v>81</v>
      </c>
      <c r="AF55" s="49"/>
      <c r="AG55" s="49"/>
      <c r="AH55" s="49"/>
    </row>
    <row r="56" spans="2:34" s="4" customFormat="1" ht="107.25" customHeight="1" x14ac:dyDescent="0.25">
      <c r="B56" s="24" t="s">
        <v>217</v>
      </c>
      <c r="C56" s="13" t="s">
        <v>561</v>
      </c>
      <c r="D56" s="13" t="s">
        <v>218</v>
      </c>
      <c r="E56" s="13" t="s">
        <v>468</v>
      </c>
      <c r="F56" s="13" t="s">
        <v>536</v>
      </c>
      <c r="G56" s="13" t="s">
        <v>469</v>
      </c>
      <c r="H56" s="13" t="s">
        <v>556</v>
      </c>
      <c r="I56" s="13" t="s">
        <v>457</v>
      </c>
      <c r="J56" s="13" t="s">
        <v>458</v>
      </c>
      <c r="K56" s="13" t="s">
        <v>47</v>
      </c>
      <c r="L56" s="31" t="s">
        <v>781</v>
      </c>
      <c r="M56" s="31" t="s">
        <v>783</v>
      </c>
      <c r="N56" s="38">
        <v>0.18</v>
      </c>
      <c r="O56" s="31" t="s">
        <v>784</v>
      </c>
      <c r="P56" s="31" t="s">
        <v>785</v>
      </c>
      <c r="Q56" s="116">
        <v>0.81</v>
      </c>
      <c r="R56" s="31"/>
      <c r="S56" s="31"/>
      <c r="T56" s="31"/>
      <c r="U56" s="31"/>
      <c r="V56" s="31"/>
      <c r="W56" s="42"/>
      <c r="X56" s="49"/>
      <c r="Y56" s="135" t="s">
        <v>848</v>
      </c>
      <c r="Z56" s="135">
        <f>SUMIF(L:L,"P.S.372",N:N)</f>
        <v>8875</v>
      </c>
      <c r="AA56" s="135">
        <f>SUMIF(O:O,"P.S.372",Q:Q)</f>
        <v>0</v>
      </c>
      <c r="AB56" s="135">
        <f>SUMIF(R:R,"P.S.372",T:T)</f>
        <v>0</v>
      </c>
      <c r="AC56" s="135">
        <f>SUMIF(U:U,"P.S.372",W:W)</f>
        <v>0</v>
      </c>
      <c r="AD56" s="135">
        <f>SUMIF(X:X,"P.S.372",Z:Z)</f>
        <v>0</v>
      </c>
      <c r="AE56" s="136">
        <f t="shared" ref="AE56" si="34">Z56+AA56+AB56+AC56+AD56</f>
        <v>8875</v>
      </c>
      <c r="AF56" s="49"/>
      <c r="AG56" s="49"/>
      <c r="AH56" s="49"/>
    </row>
    <row r="57" spans="2:34" s="4" customFormat="1" ht="89.25" x14ac:dyDescent="0.25">
      <c r="B57" s="13" t="s">
        <v>219</v>
      </c>
      <c r="C57" s="13" t="s">
        <v>562</v>
      </c>
      <c r="D57" s="13" t="s">
        <v>553</v>
      </c>
      <c r="E57" s="13" t="s">
        <v>507</v>
      </c>
      <c r="F57" s="13" t="s">
        <v>536</v>
      </c>
      <c r="G57" s="13" t="s">
        <v>508</v>
      </c>
      <c r="H57" s="13" t="s">
        <v>556</v>
      </c>
      <c r="I57" s="13" t="s">
        <v>457</v>
      </c>
      <c r="J57" s="13" t="s">
        <v>458</v>
      </c>
      <c r="K57" s="13" t="s">
        <v>47</v>
      </c>
      <c r="L57" s="31" t="s">
        <v>784</v>
      </c>
      <c r="M57" s="31" t="s">
        <v>786</v>
      </c>
      <c r="N57" s="116">
        <v>0.85</v>
      </c>
      <c r="O57" s="31"/>
      <c r="P57" s="31"/>
      <c r="Q57" s="42"/>
      <c r="R57" s="31"/>
      <c r="S57" s="31"/>
      <c r="T57" s="31"/>
      <c r="U57" s="31"/>
      <c r="V57" s="31"/>
      <c r="W57" s="42"/>
      <c r="X57" s="49"/>
      <c r="Y57" s="135" t="s">
        <v>923</v>
      </c>
      <c r="Z57" s="135">
        <f>SUMIF(L:L,"P.S.379",N:N)</f>
        <v>0</v>
      </c>
      <c r="AA57" s="135">
        <f>SUMIF(O:O,"P.S.379",Q:Q)</f>
        <v>0</v>
      </c>
      <c r="AB57" s="135">
        <f>SUMIF(R:R,"P.S.379",T:T)</f>
        <v>0</v>
      </c>
      <c r="AC57" s="135">
        <f>SUMIF(U:U,"P.S.379",W:W)</f>
        <v>0</v>
      </c>
      <c r="AD57" s="135">
        <f>SUMIF(X:X,"P.S.379",Z:Z)</f>
        <v>0</v>
      </c>
      <c r="AE57" s="136">
        <f t="shared" ref="AE57" si="35">Z57+AA57+AB57+AC57+AD57</f>
        <v>0</v>
      </c>
      <c r="AF57" s="49"/>
      <c r="AG57" s="49"/>
      <c r="AH57" s="49"/>
    </row>
    <row r="58" spans="2:34" s="4" customFormat="1" ht="68.25" customHeight="1" x14ac:dyDescent="0.25">
      <c r="B58" s="13" t="s">
        <v>555</v>
      </c>
      <c r="C58" s="13" t="s">
        <v>563</v>
      </c>
      <c r="D58" s="13" t="s">
        <v>554</v>
      </c>
      <c r="E58" s="13" t="s">
        <v>471</v>
      </c>
      <c r="F58" s="13" t="s">
        <v>557</v>
      </c>
      <c r="G58" s="13" t="s">
        <v>472</v>
      </c>
      <c r="H58" s="13" t="s">
        <v>556</v>
      </c>
      <c r="I58" s="13" t="s">
        <v>465</v>
      </c>
      <c r="J58" s="13" t="s">
        <v>466</v>
      </c>
      <c r="K58" s="13" t="s">
        <v>467</v>
      </c>
      <c r="L58" s="31" t="s">
        <v>781</v>
      </c>
      <c r="M58" s="31" t="s">
        <v>782</v>
      </c>
      <c r="N58" s="86">
        <v>0.55000000000000004</v>
      </c>
      <c r="O58" s="31"/>
      <c r="P58" s="31"/>
      <c r="Q58" s="42"/>
      <c r="R58" s="31"/>
      <c r="S58" s="31"/>
      <c r="T58" s="31"/>
      <c r="U58" s="31"/>
      <c r="V58" s="31"/>
      <c r="W58" s="42"/>
      <c r="X58" s="49"/>
      <c r="Y58" s="135" t="s">
        <v>867</v>
      </c>
      <c r="Z58" s="135">
        <f>SUMIF(L:L,"P.S.415",N:N)</f>
        <v>25</v>
      </c>
      <c r="AA58" s="135">
        <f>SUMIF(O:O,"P.S.415",Q:Q)</f>
        <v>0</v>
      </c>
      <c r="AB58" s="135">
        <f>SUMIF(R:R,"P.S.415",T:T)</f>
        <v>0</v>
      </c>
      <c r="AC58" s="135">
        <f>SUMIF(U:U,"P.S.415",W:W)</f>
        <v>0</v>
      </c>
      <c r="AD58" s="135">
        <f>SUMIF(X:X,"P.S.415",Z:Z)</f>
        <v>0</v>
      </c>
      <c r="AE58" s="136">
        <f t="shared" ref="AE58" si="36">Z58+AA58+AB58+AC58+AD58</f>
        <v>25</v>
      </c>
      <c r="AF58" s="49"/>
      <c r="AG58" s="49"/>
      <c r="AH58" s="49"/>
    </row>
    <row r="59" spans="2:34" s="4" customFormat="1" ht="38.25" x14ac:dyDescent="0.25">
      <c r="B59" s="22" t="s">
        <v>223</v>
      </c>
      <c r="C59" s="22"/>
      <c r="D59" s="22" t="s">
        <v>224</v>
      </c>
      <c r="E59" s="22"/>
      <c r="F59" s="22"/>
      <c r="G59" s="22"/>
      <c r="H59" s="22"/>
      <c r="I59" s="22"/>
      <c r="J59" s="22"/>
      <c r="K59" s="22"/>
      <c r="L59" s="35"/>
      <c r="M59" s="35"/>
      <c r="N59" s="35"/>
      <c r="O59" s="35"/>
      <c r="P59" s="35"/>
      <c r="Q59" s="130"/>
      <c r="R59" s="35"/>
      <c r="S59" s="35"/>
      <c r="T59" s="35"/>
      <c r="U59" s="35"/>
      <c r="V59" s="35"/>
      <c r="W59" s="130"/>
      <c r="X59" s="49"/>
      <c r="Y59" s="135" t="s">
        <v>869</v>
      </c>
      <c r="Z59" s="135">
        <f>SUMIF(L:L,"P.S.416",N:N)</f>
        <v>0</v>
      </c>
      <c r="AA59" s="135">
        <f>SUMIF(O:O,"P.S.416",Q:Q)</f>
        <v>291</v>
      </c>
      <c r="AB59" s="135">
        <f>SUMIF(R:R,"P.S.416",T:T)</f>
        <v>0</v>
      </c>
      <c r="AC59" s="135">
        <f>SUMIF(U:U,"P.S.416",W:W)</f>
        <v>0</v>
      </c>
      <c r="AD59" s="135">
        <f>SUMIF(X:X,"P.S.416",Z:Z)</f>
        <v>0</v>
      </c>
      <c r="AE59" s="136">
        <f t="shared" ref="AE59" si="37">Z59+AA59+AB59+AC59+AD59</f>
        <v>291</v>
      </c>
      <c r="AF59" s="49"/>
      <c r="AG59" s="49"/>
      <c r="AH59" s="49"/>
    </row>
    <row r="60" spans="2:34" s="4" customFormat="1" x14ac:dyDescent="0.25">
      <c r="B60" s="13"/>
      <c r="C60" s="13"/>
      <c r="D60" s="13"/>
      <c r="E60" s="13"/>
      <c r="F60" s="13"/>
      <c r="G60" s="13"/>
      <c r="H60" s="13"/>
      <c r="I60" s="13"/>
      <c r="J60" s="13"/>
      <c r="K60" s="13"/>
      <c r="L60" s="31"/>
      <c r="M60" s="31"/>
      <c r="N60" s="31"/>
      <c r="O60" s="31"/>
      <c r="P60" s="31"/>
      <c r="Q60" s="42"/>
      <c r="R60" s="31"/>
      <c r="S60" s="31"/>
      <c r="T60" s="31"/>
      <c r="U60" s="31"/>
      <c r="V60" s="31"/>
      <c r="W60" s="42"/>
      <c r="X60" s="49"/>
      <c r="Y60" s="135" t="s">
        <v>828</v>
      </c>
      <c r="Z60" s="135">
        <f>SUMIF(L:L,"R.N.091",N:N)</f>
        <v>3.04</v>
      </c>
      <c r="AA60" s="135">
        <f>SUMIF(O:O,"R.N.091",Q:Q)</f>
        <v>99.75</v>
      </c>
      <c r="AB60" s="135">
        <f>SUMIF(R:R,"R.N.091",T:T)</f>
        <v>10</v>
      </c>
      <c r="AC60" s="135">
        <f>SUMIF(U:U,"R.N.091",W:W)</f>
        <v>0</v>
      </c>
      <c r="AD60" s="135">
        <f>SUMIF(X:X,"R.N.091",Z:Z)</f>
        <v>0</v>
      </c>
      <c r="AE60" s="136">
        <f t="shared" ref="AE60" si="38">Z60+AA60+AB60+AC60+AD60</f>
        <v>112.79</v>
      </c>
      <c r="AF60" s="49"/>
      <c r="AG60" s="49"/>
      <c r="AH60" s="49"/>
    </row>
    <row r="61" spans="2:34" s="4" customFormat="1" ht="42" customHeight="1" x14ac:dyDescent="0.25">
      <c r="B61" s="103" t="s">
        <v>225</v>
      </c>
      <c r="C61" s="103" t="s">
        <v>1018</v>
      </c>
      <c r="D61" s="103" t="s">
        <v>226</v>
      </c>
      <c r="E61" s="103" t="s">
        <v>503</v>
      </c>
      <c r="F61" s="103" t="s">
        <v>536</v>
      </c>
      <c r="G61" s="103" t="s">
        <v>543</v>
      </c>
      <c r="H61" s="103" t="s">
        <v>565</v>
      </c>
      <c r="I61" s="103" t="s">
        <v>506</v>
      </c>
      <c r="J61" s="103" t="s">
        <v>458</v>
      </c>
      <c r="K61" s="103" t="s">
        <v>47</v>
      </c>
      <c r="L61" s="104" t="s">
        <v>789</v>
      </c>
      <c r="M61" s="104" t="s">
        <v>790</v>
      </c>
      <c r="N61" s="104">
        <v>1</v>
      </c>
      <c r="O61" s="38"/>
      <c r="P61" s="38"/>
      <c r="Q61" s="86"/>
      <c r="R61" s="38"/>
      <c r="S61" s="38"/>
      <c r="T61" s="38"/>
      <c r="U61" s="38"/>
      <c r="V61" s="38"/>
      <c r="W61" s="86"/>
      <c r="X61" s="49"/>
      <c r="Y61" s="135" t="s">
        <v>861</v>
      </c>
      <c r="Z61" s="135">
        <f>SUMIF(L:L,"R.N.404",N:N)</f>
        <v>0</v>
      </c>
      <c r="AA61" s="135">
        <f>SUMIF(O:O,"R.N.404",Q:Q)</f>
        <v>0</v>
      </c>
      <c r="AB61" s="135">
        <f>SUMIF(R:R,"R.N.404",T:T)</f>
        <v>98</v>
      </c>
      <c r="AC61" s="135">
        <f>SUMIF(U:U,"R.N.404",W:W)</f>
        <v>0</v>
      </c>
      <c r="AD61" s="135">
        <f>SUMIF(X:X,"R.N.404",Z:Z)</f>
        <v>0</v>
      </c>
      <c r="AE61" s="136">
        <f t="shared" ref="AE61" si="39">Z61+AA61+AB61+AC61+AD61</f>
        <v>98</v>
      </c>
      <c r="AF61" s="49"/>
      <c r="AG61" s="49"/>
      <c r="AH61" s="49"/>
    </row>
    <row r="62" spans="2:34" s="4" customFormat="1" ht="49.5" customHeight="1" x14ac:dyDescent="0.25">
      <c r="B62" s="51" t="s">
        <v>227</v>
      </c>
      <c r="C62" s="51" t="s">
        <v>574</v>
      </c>
      <c r="D62" s="51" t="s">
        <v>567</v>
      </c>
      <c r="E62" s="51" t="s">
        <v>503</v>
      </c>
      <c r="F62" s="51" t="s">
        <v>536</v>
      </c>
      <c r="G62" s="51" t="s">
        <v>504</v>
      </c>
      <c r="H62" s="51" t="s">
        <v>568</v>
      </c>
      <c r="I62" s="51" t="s">
        <v>457</v>
      </c>
      <c r="J62" s="51" t="s">
        <v>458</v>
      </c>
      <c r="K62" s="51" t="s">
        <v>47</v>
      </c>
      <c r="L62" s="86" t="s">
        <v>787</v>
      </c>
      <c r="M62" s="86" t="s">
        <v>788</v>
      </c>
      <c r="N62" s="86">
        <v>1</v>
      </c>
      <c r="O62" s="86"/>
      <c r="P62" s="38"/>
      <c r="Q62" s="86"/>
      <c r="R62" s="38"/>
      <c r="S62" s="38"/>
      <c r="T62" s="38"/>
      <c r="U62" s="38"/>
      <c r="V62" s="38"/>
      <c r="W62" s="86"/>
      <c r="X62" s="49"/>
      <c r="Y62" s="135" t="s">
        <v>775</v>
      </c>
      <c r="Z62" s="135">
        <f>SUMIF(L:L,"R.S.342",N:N)</f>
        <v>0</v>
      </c>
      <c r="AA62" s="135">
        <f>SUMIF(O:O,"R.S.342",Q:Q)</f>
        <v>0</v>
      </c>
      <c r="AB62" s="135">
        <f>SUMIF(R:R,"R.S.342",T:T)</f>
        <v>0</v>
      </c>
      <c r="AC62" s="135">
        <f>SUMIF(U:U,"R.S.342",W:W)</f>
        <v>0</v>
      </c>
      <c r="AD62" s="135">
        <f>SUMIF(X:X,"R.S.342",Z:Z)</f>
        <v>0</v>
      </c>
      <c r="AE62" s="165">
        <f t="shared" ref="AE62" si="40">Z62+AA62+AB62+AC62+AD62</f>
        <v>0</v>
      </c>
      <c r="AF62" s="49"/>
      <c r="AG62" s="49"/>
      <c r="AH62" s="49"/>
    </row>
    <row r="63" spans="2:34" s="4" customFormat="1" ht="47.25" customHeight="1" x14ac:dyDescent="0.25">
      <c r="B63" s="51" t="s">
        <v>229</v>
      </c>
      <c r="C63" s="51" t="s">
        <v>575</v>
      </c>
      <c r="D63" s="51" t="s">
        <v>230</v>
      </c>
      <c r="E63" s="51" t="s">
        <v>569</v>
      </c>
      <c r="F63" s="51" t="s">
        <v>536</v>
      </c>
      <c r="G63" s="51" t="s">
        <v>541</v>
      </c>
      <c r="H63" s="51" t="s">
        <v>570</v>
      </c>
      <c r="I63" s="51" t="s">
        <v>506</v>
      </c>
      <c r="J63" s="51" t="s">
        <v>47</v>
      </c>
      <c r="K63" s="51" t="s">
        <v>47</v>
      </c>
      <c r="L63" s="86" t="s">
        <v>789</v>
      </c>
      <c r="M63" s="86" t="s">
        <v>790</v>
      </c>
      <c r="N63" s="86">
        <v>1</v>
      </c>
      <c r="O63" s="86"/>
      <c r="P63" s="38"/>
      <c r="Q63" s="86"/>
      <c r="R63" s="38"/>
      <c r="S63" s="38"/>
      <c r="T63" s="38"/>
      <c r="U63" s="38"/>
      <c r="V63" s="38"/>
      <c r="W63" s="86"/>
      <c r="X63" s="49"/>
      <c r="Y63" s="135" t="s">
        <v>838</v>
      </c>
      <c r="Z63" s="135">
        <f>SUMIF(L:L,"P.N.743",N:N)</f>
        <v>0</v>
      </c>
      <c r="AA63" s="135">
        <f>SUMIF(O:O,"P.N.743",Q:Q)</f>
        <v>4</v>
      </c>
      <c r="AB63" s="135">
        <f>SUMIF(R:R,"P.N.743",T:T)</f>
        <v>0</v>
      </c>
      <c r="AC63" s="135">
        <f>SUMIF(U:U,"P.N.743",W:W)</f>
        <v>0</v>
      </c>
      <c r="AD63" s="135">
        <f>SUMIF(X:X,"P.N.743",Z:Z)</f>
        <v>0</v>
      </c>
      <c r="AE63" s="136">
        <f t="shared" ref="AE63" si="41">Z63+AA63+AB63+AC63+AD63</f>
        <v>4</v>
      </c>
      <c r="AF63" s="49"/>
      <c r="AG63" s="49"/>
      <c r="AH63" s="49"/>
    </row>
    <row r="64" spans="2:34" s="84" customFormat="1" ht="49.5" customHeight="1" x14ac:dyDescent="0.25">
      <c r="B64" s="51" t="s">
        <v>1014</v>
      </c>
      <c r="C64" s="51" t="s">
        <v>1017</v>
      </c>
      <c r="D64" s="86" t="s">
        <v>1019</v>
      </c>
      <c r="E64" s="86" t="s">
        <v>507</v>
      </c>
      <c r="F64" s="86" t="s">
        <v>536</v>
      </c>
      <c r="G64" s="86" t="s">
        <v>541</v>
      </c>
      <c r="H64" s="86" t="s">
        <v>564</v>
      </c>
      <c r="I64" s="51" t="s">
        <v>457</v>
      </c>
      <c r="J64" s="51" t="s">
        <v>47</v>
      </c>
      <c r="K64" s="51" t="s">
        <v>47</v>
      </c>
      <c r="L64" s="86" t="s">
        <v>787</v>
      </c>
      <c r="M64" s="86" t="s">
        <v>788</v>
      </c>
      <c r="N64" s="86">
        <v>2</v>
      </c>
      <c r="O64" s="86"/>
      <c r="P64" s="38"/>
      <c r="Q64" s="86"/>
      <c r="R64" s="38"/>
      <c r="S64" s="38"/>
      <c r="T64" s="38"/>
      <c r="U64" s="38"/>
      <c r="V64" s="38"/>
      <c r="W64" s="86"/>
      <c r="X64" s="95"/>
      <c r="Y64" s="128" t="s">
        <v>833</v>
      </c>
      <c r="Z64" s="128">
        <f>SUMIF(L:L,"P.N.094",N:N)</f>
        <v>0</v>
      </c>
      <c r="AA64" s="128">
        <f>SUMIF(O:O,"P.N.094",Q:Q)</f>
        <v>0</v>
      </c>
      <c r="AB64" s="128">
        <f>SUMIF(R:R,"P.N.094",T:T)</f>
        <v>0</v>
      </c>
      <c r="AC64" s="128">
        <f>SUMIF(U:U,"P.N.094",W:W)</f>
        <v>2</v>
      </c>
      <c r="AD64" s="128">
        <f>SUMIF(X:X,"P.N.094",Z:Z)</f>
        <v>0</v>
      </c>
      <c r="AE64" s="164">
        <f t="shared" ref="AE64" si="42">Z64+AA64+AB64+AC64+AD64</f>
        <v>2</v>
      </c>
      <c r="AF64" s="95"/>
      <c r="AG64" s="95"/>
      <c r="AH64" s="95"/>
    </row>
    <row r="65" spans="2:34" s="4" customFormat="1" ht="63.75" x14ac:dyDescent="0.25">
      <c r="B65" s="22" t="s">
        <v>231</v>
      </c>
      <c r="C65" s="22"/>
      <c r="D65" s="22" t="s">
        <v>232</v>
      </c>
      <c r="E65" s="22"/>
      <c r="F65" s="22"/>
      <c r="G65" s="22"/>
      <c r="H65" s="22"/>
      <c r="I65" s="22"/>
      <c r="J65" s="22"/>
      <c r="K65" s="22"/>
      <c r="L65" s="35"/>
      <c r="M65" s="35"/>
      <c r="N65" s="35"/>
      <c r="O65" s="35"/>
      <c r="P65" s="35"/>
      <c r="Q65" s="130"/>
      <c r="R65" s="35"/>
      <c r="S65" s="35"/>
      <c r="T65" s="35"/>
      <c r="U65" s="35"/>
      <c r="V65" s="35"/>
      <c r="W65" s="130"/>
      <c r="X65" s="49"/>
      <c r="Y65" s="135" t="s">
        <v>846</v>
      </c>
      <c r="Z65" s="135">
        <f>SUMIF(L:L,"P.N.604",N:N)</f>
        <v>101</v>
      </c>
      <c r="AA65" s="135">
        <f>SUMIF(O:O,"P.N.604",Q:Q)</f>
        <v>0</v>
      </c>
      <c r="AB65" s="135">
        <f>SUMIF(R:R,"P.N.604",T:T)</f>
        <v>0</v>
      </c>
      <c r="AC65" s="135">
        <f>SUMIF(U:U,"P.N.604",W:W)</f>
        <v>0</v>
      </c>
      <c r="AD65" s="135">
        <f>SUMIF(X:X,"P.N.604",Z:Z)</f>
        <v>0</v>
      </c>
      <c r="AE65" s="136">
        <f t="shared" ref="AE65" si="43">Z65+AA65+AB65+AC65+AD65</f>
        <v>101</v>
      </c>
      <c r="AF65" s="49"/>
      <c r="AG65" s="49"/>
      <c r="AH65" s="49"/>
    </row>
    <row r="66" spans="2:34" s="4" customFormat="1" ht="19.5" customHeight="1" x14ac:dyDescent="0.25">
      <c r="B66" s="74"/>
      <c r="C66" s="74"/>
      <c r="D66" s="74"/>
      <c r="E66" s="74"/>
      <c r="F66" s="74"/>
      <c r="G66" s="74"/>
      <c r="H66" s="74"/>
      <c r="I66" s="74"/>
      <c r="J66" s="74"/>
      <c r="K66" s="74"/>
      <c r="L66" s="73"/>
      <c r="M66" s="73"/>
      <c r="N66" s="73"/>
      <c r="O66" s="31"/>
      <c r="P66" s="31"/>
      <c r="Q66" s="42"/>
      <c r="R66" s="31"/>
      <c r="S66" s="31"/>
      <c r="T66" s="31"/>
      <c r="U66" s="31"/>
      <c r="V66" s="31"/>
      <c r="W66" s="42"/>
      <c r="X66" s="49"/>
      <c r="Y66" s="135" t="s">
        <v>935</v>
      </c>
      <c r="Z66" s="135">
        <f>SUMIF(L:L,"P.S.303",N:N)</f>
        <v>9</v>
      </c>
      <c r="AA66" s="135">
        <f>SUMIF(O:O,"P.S.303",Q:Q)</f>
        <v>0</v>
      </c>
      <c r="AB66" s="135">
        <f>SUMIF(R:R,"P.S.303",T:T)</f>
        <v>0</v>
      </c>
      <c r="AC66" s="135">
        <f>SUMIF(U:U,"P.S.303",W:W)</f>
        <v>0</v>
      </c>
      <c r="AD66" s="135">
        <f>SUMIF(X:X,"P.S.303",Z:Z)</f>
        <v>0</v>
      </c>
      <c r="AE66" s="136">
        <f t="shared" ref="AE66" si="44">Z66+AA66+AB66+AC66+AD66</f>
        <v>9</v>
      </c>
      <c r="AF66" s="49"/>
      <c r="AG66" s="49"/>
      <c r="AH66" s="49"/>
    </row>
    <row r="67" spans="2:34" s="84" customFormat="1" ht="93.75" customHeight="1" x14ac:dyDescent="0.25">
      <c r="B67" s="24" t="s">
        <v>233</v>
      </c>
      <c r="C67" s="24" t="s">
        <v>578</v>
      </c>
      <c r="D67" s="24" t="s">
        <v>577</v>
      </c>
      <c r="E67" s="24" t="s">
        <v>507</v>
      </c>
      <c r="F67" s="24" t="s">
        <v>536</v>
      </c>
      <c r="G67" s="24" t="s">
        <v>541</v>
      </c>
      <c r="H67" s="24" t="s">
        <v>576</v>
      </c>
      <c r="I67" s="24" t="s">
        <v>457</v>
      </c>
      <c r="J67" s="24" t="s">
        <v>47</v>
      </c>
      <c r="K67" s="24" t="s">
        <v>47</v>
      </c>
      <c r="L67" s="38" t="s">
        <v>791</v>
      </c>
      <c r="M67" s="38" t="s">
        <v>792</v>
      </c>
      <c r="N67" s="38">
        <v>4</v>
      </c>
      <c r="O67" s="38"/>
      <c r="P67" s="38"/>
      <c r="Q67" s="86"/>
      <c r="R67" s="38"/>
      <c r="S67" s="38"/>
      <c r="T67" s="38"/>
      <c r="U67" s="38"/>
      <c r="V67" s="38"/>
      <c r="W67" s="86"/>
      <c r="X67" s="95"/>
      <c r="Y67" s="128" t="s">
        <v>982</v>
      </c>
      <c r="Z67" s="128">
        <f>SUMIF(L:L,"P.B.236",N:N)</f>
        <v>88870</v>
      </c>
      <c r="AA67" s="128">
        <f>SUMIF(O:O,"P.B.236",Q:Q)</f>
        <v>0</v>
      </c>
      <c r="AB67" s="128">
        <f>SUMIF(R:R,"P.B.236",T:T)</f>
        <v>0</v>
      </c>
      <c r="AC67" s="128">
        <f>SUMIF(U:U,"P.B.236",W:W)</f>
        <v>0</v>
      </c>
      <c r="AD67" s="128">
        <f>SUMIF(X:X,"P.B.236",Z:Z)</f>
        <v>0</v>
      </c>
      <c r="AE67" s="164">
        <f t="shared" ref="AE67" si="45">Z67+AA67+AB67+AC67+AD67</f>
        <v>88870</v>
      </c>
      <c r="AF67" s="95"/>
      <c r="AG67" s="95"/>
      <c r="AH67" s="95"/>
    </row>
    <row r="68" spans="2:34" s="4" customFormat="1" ht="42.75" customHeight="1" x14ac:dyDescent="0.25">
      <c r="B68" s="53" t="s">
        <v>945</v>
      </c>
      <c r="C68" s="53"/>
      <c r="D68" s="53" t="s">
        <v>946</v>
      </c>
      <c r="E68" s="50"/>
      <c r="F68" s="50"/>
      <c r="G68" s="50"/>
      <c r="H68" s="50"/>
      <c r="I68" s="50"/>
      <c r="J68" s="50"/>
      <c r="K68" s="50"/>
      <c r="L68" s="56"/>
      <c r="M68" s="56"/>
      <c r="N68" s="56"/>
      <c r="O68" s="56"/>
      <c r="P68" s="56"/>
      <c r="Q68" s="131"/>
      <c r="R68" s="56"/>
      <c r="S68" s="56"/>
      <c r="T68" s="56"/>
      <c r="U68" s="56"/>
      <c r="V68" s="56"/>
      <c r="W68" s="131"/>
      <c r="X68" s="49"/>
      <c r="Y68" s="135" t="s">
        <v>984</v>
      </c>
      <c r="Z68" s="135">
        <f>SUMIF(L:L,"P.S.363",N:N)</f>
        <v>0</v>
      </c>
      <c r="AA68" s="135">
        <f>SUMIF(O:O,"P.S.363",Q:Q)</f>
        <v>8</v>
      </c>
      <c r="AB68" s="135">
        <f>SUMIF(R:R,"P.S.363",T:T)</f>
        <v>0</v>
      </c>
      <c r="AC68" s="135">
        <f>SUMIF(U:U,"P.S.363",W:W)</f>
        <v>0</v>
      </c>
      <c r="AD68" s="135">
        <f>SUMIF(X:X,"P.S.363",Z:Z)</f>
        <v>0</v>
      </c>
      <c r="AE68" s="136">
        <f t="shared" ref="AE68" si="46">Z68+AA68+AB68+AC68+AD68</f>
        <v>8</v>
      </c>
      <c r="AF68" s="49"/>
      <c r="AG68" s="49"/>
      <c r="AH68" s="49"/>
    </row>
    <row r="69" spans="2:34" s="4" customFormat="1" ht="51" x14ac:dyDescent="0.25">
      <c r="B69" s="25" t="s">
        <v>235</v>
      </c>
      <c r="C69" s="30"/>
      <c r="D69" s="25" t="s">
        <v>236</v>
      </c>
      <c r="E69" s="25"/>
      <c r="F69" s="30"/>
      <c r="G69" s="25"/>
      <c r="H69" s="30"/>
      <c r="I69" s="25"/>
      <c r="J69" s="25"/>
      <c r="K69" s="30"/>
      <c r="L69" s="36"/>
      <c r="M69" s="37"/>
      <c r="N69" s="36"/>
      <c r="O69" s="36"/>
      <c r="P69" s="37"/>
      <c r="Q69" s="132"/>
      <c r="R69" s="37"/>
      <c r="S69" s="36"/>
      <c r="T69" s="36"/>
      <c r="U69" s="37"/>
      <c r="V69" s="36"/>
      <c r="W69" s="140"/>
      <c r="X69" s="49"/>
      <c r="Y69" s="135"/>
      <c r="Z69" s="135"/>
      <c r="AA69" s="135"/>
      <c r="AB69" s="135"/>
      <c r="AC69" s="135"/>
      <c r="AD69" s="135"/>
      <c r="AE69" s="135"/>
      <c r="AF69" s="49"/>
      <c r="AG69" s="49"/>
      <c r="AH69" s="49"/>
    </row>
    <row r="70" spans="2:34" s="4" customFormat="1" ht="63.75" x14ac:dyDescent="0.25">
      <c r="B70" s="8" t="s">
        <v>237</v>
      </c>
      <c r="C70" s="21"/>
      <c r="D70" s="21" t="s">
        <v>238</v>
      </c>
      <c r="E70" s="8"/>
      <c r="F70" s="8"/>
      <c r="G70" s="21"/>
      <c r="H70" s="21"/>
      <c r="I70" s="8"/>
      <c r="J70" s="8"/>
      <c r="K70" s="21"/>
      <c r="L70" s="33"/>
      <c r="M70" s="34"/>
      <c r="N70" s="34"/>
      <c r="O70" s="33"/>
      <c r="P70" s="33"/>
      <c r="Q70" s="133"/>
      <c r="R70" s="34"/>
      <c r="S70" s="33"/>
      <c r="T70" s="33"/>
      <c r="U70" s="34"/>
      <c r="V70" s="34"/>
      <c r="W70" s="139"/>
      <c r="X70" s="49"/>
      <c r="Y70" s="135"/>
      <c r="Z70" s="135"/>
      <c r="AA70" s="135"/>
      <c r="AB70" s="135"/>
      <c r="AC70" s="135"/>
      <c r="AD70" s="135"/>
      <c r="AE70" s="135"/>
      <c r="AF70" s="49"/>
      <c r="AG70" s="49"/>
      <c r="AH70" s="49"/>
    </row>
    <row r="71" spans="2:34" s="4" customFormat="1" ht="63.75" x14ac:dyDescent="0.25">
      <c r="B71" s="22" t="s">
        <v>239</v>
      </c>
      <c r="C71" s="22"/>
      <c r="D71" s="22" t="s">
        <v>240</v>
      </c>
      <c r="E71" s="22"/>
      <c r="F71" s="22"/>
      <c r="G71" s="22"/>
      <c r="H71" s="22"/>
      <c r="I71" s="22"/>
      <c r="J71" s="22"/>
      <c r="K71" s="22"/>
      <c r="L71" s="35"/>
      <c r="M71" s="35"/>
      <c r="N71" s="35"/>
      <c r="O71" s="35"/>
      <c r="P71" s="35"/>
      <c r="Q71" s="130"/>
      <c r="R71" s="35"/>
      <c r="S71" s="35"/>
      <c r="T71" s="35"/>
      <c r="U71" s="35"/>
      <c r="V71" s="35"/>
      <c r="W71" s="130"/>
      <c r="X71" s="49"/>
      <c r="Y71" s="135"/>
      <c r="Z71" s="135"/>
      <c r="AA71" s="135"/>
      <c r="AB71" s="135"/>
      <c r="AC71" s="135"/>
      <c r="AD71" s="135"/>
      <c r="AE71" s="135"/>
      <c r="AF71" s="49"/>
      <c r="AG71" s="49"/>
      <c r="AH71" s="49"/>
    </row>
    <row r="72" spans="2:34" s="4" customFormat="1" ht="124.5" customHeight="1" x14ac:dyDescent="0.25">
      <c r="B72" s="24" t="s">
        <v>241</v>
      </c>
      <c r="C72" s="24" t="s">
        <v>590</v>
      </c>
      <c r="D72" s="24" t="s">
        <v>242</v>
      </c>
      <c r="E72" s="24" t="s">
        <v>453</v>
      </c>
      <c r="F72" s="24" t="s">
        <v>579</v>
      </c>
      <c r="G72" s="24" t="s">
        <v>455</v>
      </c>
      <c r="H72" s="24" t="s">
        <v>580</v>
      </c>
      <c r="I72" s="24" t="s">
        <v>457</v>
      </c>
      <c r="J72" s="24" t="s">
        <v>458</v>
      </c>
      <c r="K72" s="24" t="s">
        <v>47</v>
      </c>
      <c r="L72" s="38" t="s">
        <v>793</v>
      </c>
      <c r="M72" s="38" t="s">
        <v>794</v>
      </c>
      <c r="N72" s="38">
        <v>1</v>
      </c>
      <c r="O72" s="38" t="s">
        <v>795</v>
      </c>
      <c r="P72" s="38" t="s">
        <v>796</v>
      </c>
      <c r="Q72" s="86">
        <v>1400</v>
      </c>
      <c r="R72" s="38"/>
      <c r="S72" s="38"/>
      <c r="T72" s="38"/>
      <c r="U72" s="38"/>
      <c r="V72" s="38"/>
      <c r="W72" s="86"/>
      <c r="X72" s="49"/>
      <c r="Y72" s="135"/>
      <c r="Z72" s="135"/>
      <c r="AA72" s="135"/>
      <c r="AB72" s="135"/>
      <c r="AC72" s="135"/>
      <c r="AD72" s="135"/>
      <c r="AE72" s="135"/>
      <c r="AF72" s="49"/>
      <c r="AG72" s="49"/>
      <c r="AH72" s="49"/>
    </row>
    <row r="73" spans="2:34" s="4" customFormat="1" ht="127.5" customHeight="1" x14ac:dyDescent="0.25">
      <c r="B73" s="24" t="s">
        <v>243</v>
      </c>
      <c r="C73" s="24" t="s">
        <v>591</v>
      </c>
      <c r="D73" s="24" t="s">
        <v>244</v>
      </c>
      <c r="E73" s="24" t="s">
        <v>581</v>
      </c>
      <c r="F73" s="24" t="s">
        <v>582</v>
      </c>
      <c r="G73" s="24" t="s">
        <v>583</v>
      </c>
      <c r="H73" s="24" t="s">
        <v>584</v>
      </c>
      <c r="I73" s="24" t="s">
        <v>465</v>
      </c>
      <c r="J73" s="24" t="s">
        <v>466</v>
      </c>
      <c r="K73" s="24" t="s">
        <v>467</v>
      </c>
      <c r="L73" s="38" t="s">
        <v>793</v>
      </c>
      <c r="M73" s="38" t="s">
        <v>794</v>
      </c>
      <c r="N73" s="38">
        <v>1</v>
      </c>
      <c r="O73" s="38" t="s">
        <v>795</v>
      </c>
      <c r="P73" s="38" t="s">
        <v>796</v>
      </c>
      <c r="Q73" s="38">
        <v>2800</v>
      </c>
      <c r="R73" s="38"/>
      <c r="S73" s="38"/>
      <c r="T73" s="38"/>
      <c r="U73" s="38"/>
      <c r="V73" s="38"/>
      <c r="W73" s="86"/>
      <c r="X73" s="49"/>
      <c r="Y73" s="135"/>
      <c r="Z73" s="135"/>
      <c r="AA73" s="135"/>
      <c r="AB73" s="135"/>
      <c r="AC73" s="135"/>
      <c r="AD73" s="135"/>
      <c r="AE73" s="135"/>
      <c r="AF73" s="49"/>
      <c r="AG73" s="49"/>
      <c r="AH73" s="49"/>
    </row>
    <row r="74" spans="2:34" s="4" customFormat="1" ht="183.75" customHeight="1" x14ac:dyDescent="0.25">
      <c r="B74" s="24" t="s">
        <v>245</v>
      </c>
      <c r="C74" s="24" t="s">
        <v>592</v>
      </c>
      <c r="D74" s="24" t="s">
        <v>585</v>
      </c>
      <c r="E74" s="24" t="s">
        <v>468</v>
      </c>
      <c r="F74" s="24" t="s">
        <v>579</v>
      </c>
      <c r="G74" s="24" t="s">
        <v>586</v>
      </c>
      <c r="H74" s="24" t="s">
        <v>580</v>
      </c>
      <c r="I74" s="24" t="s">
        <v>457</v>
      </c>
      <c r="J74" s="24" t="s">
        <v>47</v>
      </c>
      <c r="K74" s="24" t="s">
        <v>47</v>
      </c>
      <c r="L74" s="38" t="s">
        <v>793</v>
      </c>
      <c r="M74" s="38" t="s">
        <v>797</v>
      </c>
      <c r="N74" s="38">
        <v>1</v>
      </c>
      <c r="O74" s="38" t="s">
        <v>795</v>
      </c>
      <c r="P74" s="38" t="s">
        <v>798</v>
      </c>
      <c r="Q74" s="86">
        <v>600</v>
      </c>
      <c r="R74" s="38"/>
      <c r="S74" s="38"/>
      <c r="T74" s="38"/>
      <c r="U74" s="38"/>
      <c r="V74" s="38"/>
      <c r="W74" s="86"/>
      <c r="X74" s="49"/>
      <c r="Y74" s="135"/>
      <c r="Z74" s="135"/>
      <c r="AA74" s="135"/>
      <c r="AB74" s="135"/>
      <c r="AC74" s="135"/>
      <c r="AD74" s="135"/>
      <c r="AE74" s="135"/>
      <c r="AF74" s="49"/>
      <c r="AG74" s="49"/>
      <c r="AH74" s="49"/>
    </row>
    <row r="75" spans="2:34" s="4" customFormat="1" ht="127.5" customHeight="1" x14ac:dyDescent="0.25">
      <c r="B75" s="24" t="s">
        <v>247</v>
      </c>
      <c r="C75" s="24" t="s">
        <v>593</v>
      </c>
      <c r="D75" s="24" t="s">
        <v>248</v>
      </c>
      <c r="E75" s="24" t="s">
        <v>538</v>
      </c>
      <c r="F75" s="24" t="s">
        <v>579</v>
      </c>
      <c r="G75" s="24" t="s">
        <v>539</v>
      </c>
      <c r="H75" s="24" t="s">
        <v>587</v>
      </c>
      <c r="I75" s="24" t="s">
        <v>457</v>
      </c>
      <c r="J75" s="24" t="s">
        <v>47</v>
      </c>
      <c r="K75" s="24" t="s">
        <v>47</v>
      </c>
      <c r="L75" s="38" t="s">
        <v>793</v>
      </c>
      <c r="M75" s="38" t="s">
        <v>794</v>
      </c>
      <c r="N75" s="38">
        <v>1</v>
      </c>
      <c r="O75" s="38" t="s">
        <v>795</v>
      </c>
      <c r="P75" s="38" t="s">
        <v>796</v>
      </c>
      <c r="Q75" s="86">
        <v>2600</v>
      </c>
      <c r="R75" s="38"/>
      <c r="S75" s="38"/>
      <c r="T75" s="38"/>
      <c r="U75" s="38"/>
      <c r="V75" s="38"/>
      <c r="W75" s="86"/>
      <c r="X75" s="49"/>
      <c r="Y75" s="135"/>
      <c r="Z75" s="135"/>
      <c r="AA75" s="135"/>
      <c r="AB75" s="135"/>
      <c r="AC75" s="135"/>
      <c r="AD75" s="135"/>
      <c r="AE75" s="135"/>
      <c r="AF75" s="49"/>
      <c r="AG75" s="49"/>
      <c r="AH75" s="49"/>
    </row>
    <row r="76" spans="2:34" s="4" customFormat="1" ht="38.25" x14ac:dyDescent="0.25">
      <c r="B76" s="8" t="s">
        <v>249</v>
      </c>
      <c r="C76" s="21"/>
      <c r="D76" s="21" t="s">
        <v>250</v>
      </c>
      <c r="E76" s="8"/>
      <c r="F76" s="21"/>
      <c r="G76" s="21"/>
      <c r="H76" s="8"/>
      <c r="I76" s="21"/>
      <c r="J76" s="21"/>
      <c r="K76" s="8"/>
      <c r="L76" s="33"/>
      <c r="M76" s="33"/>
      <c r="N76" s="34"/>
      <c r="O76" s="33"/>
      <c r="P76" s="33"/>
      <c r="Q76" s="34"/>
      <c r="R76" s="33"/>
      <c r="S76" s="33"/>
      <c r="T76" s="34"/>
      <c r="U76" s="33"/>
      <c r="V76" s="33"/>
      <c r="W76" s="133"/>
      <c r="X76" s="49"/>
      <c r="Y76" s="135"/>
      <c r="Z76" s="135"/>
      <c r="AA76" s="135"/>
      <c r="AB76" s="135"/>
      <c r="AC76" s="135"/>
      <c r="AD76" s="135"/>
      <c r="AE76" s="135"/>
      <c r="AF76" s="49"/>
      <c r="AG76" s="49"/>
      <c r="AH76" s="49"/>
    </row>
    <row r="77" spans="2:34" s="4" customFormat="1" ht="102" x14ac:dyDescent="0.25">
      <c r="B77" s="22" t="s">
        <v>251</v>
      </c>
      <c r="C77" s="22"/>
      <c r="D77" s="22" t="s">
        <v>252</v>
      </c>
      <c r="E77" s="22"/>
      <c r="F77" s="22"/>
      <c r="G77" s="22"/>
      <c r="H77" s="22"/>
      <c r="I77" s="22"/>
      <c r="J77" s="22"/>
      <c r="K77" s="22"/>
      <c r="L77" s="35"/>
      <c r="M77" s="35"/>
      <c r="N77" s="35"/>
      <c r="O77" s="35"/>
      <c r="P77" s="35"/>
      <c r="Q77" s="35"/>
      <c r="R77" s="35"/>
      <c r="S77" s="35"/>
      <c r="T77" s="35"/>
      <c r="U77" s="35"/>
      <c r="V77" s="35"/>
      <c r="W77" s="130"/>
      <c r="X77" s="49"/>
      <c r="Y77" s="135"/>
      <c r="Z77" s="135"/>
      <c r="AA77" s="135"/>
      <c r="AB77" s="135"/>
      <c r="AC77" s="135"/>
      <c r="AD77" s="135"/>
      <c r="AE77" s="135"/>
      <c r="AF77" s="49"/>
      <c r="AG77" s="49"/>
      <c r="AH77" s="49"/>
    </row>
    <row r="78" spans="2:34" s="4" customFormat="1" ht="305.25" customHeight="1" x14ac:dyDescent="0.25">
      <c r="B78" s="24" t="s">
        <v>253</v>
      </c>
      <c r="C78" s="24" t="s">
        <v>599</v>
      </c>
      <c r="D78" s="24" t="s">
        <v>254</v>
      </c>
      <c r="E78" s="24" t="s">
        <v>594</v>
      </c>
      <c r="F78" s="24" t="s">
        <v>595</v>
      </c>
      <c r="G78" s="24" t="s">
        <v>596</v>
      </c>
      <c r="H78" s="24" t="s">
        <v>597</v>
      </c>
      <c r="I78" s="24" t="s">
        <v>465</v>
      </c>
      <c r="J78" s="24" t="s">
        <v>467</v>
      </c>
      <c r="K78" s="24" t="s">
        <v>467</v>
      </c>
      <c r="L78" s="38" t="s">
        <v>799</v>
      </c>
      <c r="M78" s="38" t="s">
        <v>800</v>
      </c>
      <c r="N78" s="38">
        <v>86</v>
      </c>
      <c r="O78" s="38"/>
      <c r="P78" s="38"/>
      <c r="Q78" s="38"/>
      <c r="R78" s="38"/>
      <c r="S78" s="38"/>
      <c r="T78" s="38"/>
      <c r="U78" s="38"/>
      <c r="V78" s="38"/>
      <c r="W78" s="86"/>
      <c r="X78" s="49"/>
      <c r="Y78" s="135"/>
      <c r="Z78" s="135"/>
      <c r="AA78" s="135"/>
      <c r="AB78" s="135"/>
      <c r="AC78" s="135"/>
      <c r="AD78" s="135"/>
      <c r="AE78" s="135"/>
      <c r="AF78" s="49"/>
      <c r="AG78" s="49"/>
      <c r="AH78" s="49"/>
    </row>
    <row r="79" spans="2:34" s="4" customFormat="1" ht="66" customHeight="1" x14ac:dyDescent="0.25">
      <c r="B79" s="51" t="s">
        <v>1007</v>
      </c>
      <c r="C79" s="51" t="s">
        <v>1008</v>
      </c>
      <c r="D79" s="86" t="s">
        <v>1009</v>
      </c>
      <c r="E79" s="86" t="s">
        <v>500</v>
      </c>
      <c r="F79" s="86" t="s">
        <v>595</v>
      </c>
      <c r="G79" s="86" t="s">
        <v>1010</v>
      </c>
      <c r="H79" s="86" t="s">
        <v>886</v>
      </c>
      <c r="I79" s="51" t="s">
        <v>465</v>
      </c>
      <c r="J79" s="51" t="s">
        <v>467</v>
      </c>
      <c r="K79" s="51" t="s">
        <v>467</v>
      </c>
      <c r="L79" s="86" t="s">
        <v>799</v>
      </c>
      <c r="M79" s="86" t="s">
        <v>800</v>
      </c>
      <c r="N79" s="86">
        <v>127</v>
      </c>
      <c r="O79" s="38"/>
      <c r="P79" s="38"/>
      <c r="Q79" s="38"/>
      <c r="R79" s="38"/>
      <c r="S79" s="38"/>
      <c r="T79" s="38"/>
      <c r="U79" s="38"/>
      <c r="V79" s="38"/>
      <c r="W79" s="86"/>
      <c r="X79" s="49"/>
      <c r="Y79" s="135"/>
      <c r="Z79" s="135"/>
      <c r="AA79" s="135"/>
      <c r="AB79" s="135"/>
      <c r="AC79" s="135"/>
      <c r="AD79" s="135"/>
      <c r="AE79" s="135"/>
      <c r="AF79" s="49"/>
      <c r="AG79" s="49"/>
      <c r="AH79" s="49"/>
    </row>
    <row r="80" spans="2:34" s="4" customFormat="1" ht="38.25" x14ac:dyDescent="0.25">
      <c r="B80" s="25" t="s">
        <v>612</v>
      </c>
      <c r="C80" s="30"/>
      <c r="D80" s="25" t="s">
        <v>600</v>
      </c>
      <c r="E80" s="25"/>
      <c r="F80" s="25"/>
      <c r="G80" s="30"/>
      <c r="H80" s="25"/>
      <c r="I80" s="25"/>
      <c r="J80" s="25"/>
      <c r="K80" s="30"/>
      <c r="L80" s="36"/>
      <c r="M80" s="36"/>
      <c r="N80" s="36"/>
      <c r="O80" s="37"/>
      <c r="P80" s="36"/>
      <c r="Q80" s="36"/>
      <c r="R80" s="36"/>
      <c r="S80" s="37"/>
      <c r="T80" s="36"/>
      <c r="U80" s="36"/>
      <c r="V80" s="36"/>
      <c r="W80" s="140"/>
      <c r="X80" s="49"/>
      <c r="Y80" s="135"/>
      <c r="Z80" s="135"/>
      <c r="AA80" s="135"/>
      <c r="AB80" s="135"/>
      <c r="AC80" s="135"/>
      <c r="AD80" s="135"/>
      <c r="AE80" s="135"/>
      <c r="AF80" s="49"/>
      <c r="AG80" s="49"/>
      <c r="AH80" s="49"/>
    </row>
    <row r="81" spans="2:34" s="4" customFormat="1" ht="76.5" x14ac:dyDescent="0.25">
      <c r="B81" s="8" t="s">
        <v>257</v>
      </c>
      <c r="C81" s="21"/>
      <c r="D81" s="21" t="s">
        <v>258</v>
      </c>
      <c r="E81" s="8"/>
      <c r="F81" s="21"/>
      <c r="G81" s="21"/>
      <c r="H81" s="8" t="s">
        <v>292</v>
      </c>
      <c r="I81" s="21"/>
      <c r="J81" s="21"/>
      <c r="K81" s="8"/>
      <c r="L81" s="33"/>
      <c r="M81" s="33"/>
      <c r="N81" s="34"/>
      <c r="O81" s="33"/>
      <c r="P81" s="33"/>
      <c r="Q81" s="34"/>
      <c r="R81" s="33"/>
      <c r="S81" s="33"/>
      <c r="T81" s="34"/>
      <c r="U81" s="33"/>
      <c r="V81" s="33"/>
      <c r="W81" s="133"/>
      <c r="X81" s="49"/>
      <c r="Y81" s="135"/>
      <c r="Z81" s="135"/>
      <c r="AA81" s="135"/>
      <c r="AB81" s="135"/>
      <c r="AC81" s="135"/>
      <c r="AD81" s="135"/>
      <c r="AE81" s="135"/>
      <c r="AF81" s="49"/>
      <c r="AG81" s="49"/>
      <c r="AH81" s="49"/>
    </row>
    <row r="82" spans="2:34" s="4" customFormat="1" ht="89.25" x14ac:dyDescent="0.25">
      <c r="B82" s="22" t="s">
        <v>259</v>
      </c>
      <c r="C82" s="22"/>
      <c r="D82" s="22" t="s">
        <v>260</v>
      </c>
      <c r="E82" s="22"/>
      <c r="F82" s="22"/>
      <c r="G82" s="22"/>
      <c r="H82" s="22"/>
      <c r="I82" s="22"/>
      <c r="J82" s="22"/>
      <c r="K82" s="22"/>
      <c r="L82" s="35"/>
      <c r="M82" s="35"/>
      <c r="N82" s="35"/>
      <c r="O82" s="35"/>
      <c r="P82" s="35"/>
      <c r="Q82" s="35"/>
      <c r="R82" s="35"/>
      <c r="S82" s="35"/>
      <c r="T82" s="35"/>
      <c r="U82" s="35"/>
      <c r="V82" s="35"/>
      <c r="W82" s="130"/>
      <c r="X82" s="49"/>
      <c r="Y82" s="135"/>
      <c r="Z82" s="135"/>
      <c r="AA82" s="135"/>
      <c r="AB82" s="135"/>
      <c r="AC82" s="135"/>
      <c r="AD82" s="135"/>
      <c r="AE82" s="135"/>
      <c r="AF82" s="49"/>
      <c r="AG82" s="49"/>
      <c r="AH82" s="49"/>
    </row>
    <row r="83" spans="2:34" s="4" customFormat="1" ht="180" customHeight="1" x14ac:dyDescent="0.25">
      <c r="B83" s="24" t="s">
        <v>261</v>
      </c>
      <c r="C83" s="13" t="s">
        <v>614</v>
      </c>
      <c r="D83" s="13" t="s">
        <v>601</v>
      </c>
      <c r="E83" s="13" t="s">
        <v>602</v>
      </c>
      <c r="F83" s="13" t="s">
        <v>603</v>
      </c>
      <c r="G83" s="13" t="s">
        <v>531</v>
      </c>
      <c r="H83" s="13" t="s">
        <v>604</v>
      </c>
      <c r="I83" s="13" t="s">
        <v>457</v>
      </c>
      <c r="J83" s="13" t="s">
        <v>47</v>
      </c>
      <c r="K83" s="13" t="s">
        <v>47</v>
      </c>
      <c r="L83" s="31" t="s">
        <v>801</v>
      </c>
      <c r="M83" s="31" t="s">
        <v>802</v>
      </c>
      <c r="N83" s="38">
        <v>5.23</v>
      </c>
      <c r="O83" s="38" t="s">
        <v>803</v>
      </c>
      <c r="P83" s="38" t="s">
        <v>804</v>
      </c>
      <c r="Q83" s="38">
        <v>16</v>
      </c>
      <c r="R83" s="38" t="s">
        <v>805</v>
      </c>
      <c r="S83" s="38" t="s">
        <v>806</v>
      </c>
      <c r="T83" s="86">
        <v>1298</v>
      </c>
      <c r="U83" s="38" t="s">
        <v>807</v>
      </c>
      <c r="V83" s="38" t="s">
        <v>808</v>
      </c>
      <c r="W83" s="86">
        <v>120</v>
      </c>
      <c r="X83" s="42" t="s">
        <v>809</v>
      </c>
      <c r="Y83" s="166" t="s">
        <v>810</v>
      </c>
      <c r="Z83" s="166">
        <v>27</v>
      </c>
      <c r="AA83" s="135"/>
      <c r="AB83" s="135"/>
      <c r="AC83" s="135"/>
      <c r="AD83" s="135"/>
      <c r="AE83" s="135"/>
      <c r="AF83" s="49"/>
      <c r="AG83" s="49"/>
      <c r="AH83" s="49"/>
    </row>
    <row r="84" spans="2:34" s="4" customFormat="1" ht="165.75" x14ac:dyDescent="0.25">
      <c r="B84" s="24" t="s">
        <v>263</v>
      </c>
      <c r="C84" s="24" t="s">
        <v>952</v>
      </c>
      <c r="D84" s="24" t="s">
        <v>605</v>
      </c>
      <c r="E84" s="24" t="s">
        <v>606</v>
      </c>
      <c r="F84" s="24" t="s">
        <v>603</v>
      </c>
      <c r="G84" s="24" t="s">
        <v>539</v>
      </c>
      <c r="H84" s="24" t="s">
        <v>604</v>
      </c>
      <c r="I84" s="24" t="s">
        <v>457</v>
      </c>
      <c r="J84" s="24" t="s">
        <v>47</v>
      </c>
      <c r="K84" s="24" t="s">
        <v>47</v>
      </c>
      <c r="L84" s="38" t="s">
        <v>803</v>
      </c>
      <c r="M84" s="38" t="s">
        <v>804</v>
      </c>
      <c r="N84" s="86">
        <v>106</v>
      </c>
      <c r="O84" s="86" t="s">
        <v>807</v>
      </c>
      <c r="P84" s="86" t="s">
        <v>808</v>
      </c>
      <c r="Q84" s="86">
        <v>358</v>
      </c>
      <c r="R84" s="38" t="s">
        <v>809</v>
      </c>
      <c r="S84" s="38" t="s">
        <v>811</v>
      </c>
      <c r="T84" s="38">
        <v>42</v>
      </c>
      <c r="U84" s="31"/>
      <c r="V84" s="31"/>
      <c r="W84" s="42"/>
      <c r="X84" s="49"/>
      <c r="Y84" s="135"/>
      <c r="Z84" s="135"/>
      <c r="AA84" s="135"/>
      <c r="AB84" s="135"/>
      <c r="AC84" s="135"/>
      <c r="AD84" s="135"/>
      <c r="AE84" s="135"/>
      <c r="AF84" s="49"/>
      <c r="AG84" s="49"/>
      <c r="AH84" s="49"/>
    </row>
    <row r="85" spans="2:34" s="4" customFormat="1" ht="51" x14ac:dyDescent="0.25">
      <c r="B85" s="24" t="s">
        <v>265</v>
      </c>
      <c r="C85" s="13" t="s">
        <v>615</v>
      </c>
      <c r="D85" s="13" t="s">
        <v>266</v>
      </c>
      <c r="E85" s="13" t="s">
        <v>607</v>
      </c>
      <c r="F85" s="13" t="s">
        <v>603</v>
      </c>
      <c r="G85" s="13" t="s">
        <v>504</v>
      </c>
      <c r="H85" s="13" t="s">
        <v>604</v>
      </c>
      <c r="I85" s="13" t="s">
        <v>457</v>
      </c>
      <c r="J85" s="13" t="s">
        <v>458</v>
      </c>
      <c r="K85" s="13" t="s">
        <v>47</v>
      </c>
      <c r="L85" s="31" t="s">
        <v>801</v>
      </c>
      <c r="M85" s="31" t="s">
        <v>802</v>
      </c>
      <c r="N85" s="42">
        <v>19.579999999999998</v>
      </c>
      <c r="O85" s="31"/>
      <c r="P85" s="31"/>
      <c r="Q85" s="31"/>
      <c r="R85" s="31"/>
      <c r="S85" s="31"/>
      <c r="T85" s="31"/>
      <c r="U85" s="31"/>
      <c r="V85" s="31"/>
      <c r="W85" s="42"/>
      <c r="X85" s="49"/>
      <c r="Y85" s="135"/>
      <c r="Z85" s="135"/>
      <c r="AA85" s="135"/>
      <c r="AB85" s="135"/>
      <c r="AC85" s="135"/>
      <c r="AD85" s="135"/>
      <c r="AE85" s="135"/>
      <c r="AF85" s="49"/>
      <c r="AG85" s="49"/>
      <c r="AH85" s="49"/>
    </row>
    <row r="86" spans="2:34" s="4" customFormat="1" ht="165.75" x14ac:dyDescent="0.25">
      <c r="B86" s="24" t="s">
        <v>267</v>
      </c>
      <c r="C86" s="24" t="s">
        <v>949</v>
      </c>
      <c r="D86" s="24" t="s">
        <v>268</v>
      </c>
      <c r="E86" s="24" t="s">
        <v>608</v>
      </c>
      <c r="F86" s="24" t="s">
        <v>603</v>
      </c>
      <c r="G86" s="24" t="s">
        <v>460</v>
      </c>
      <c r="H86" s="24" t="s">
        <v>604</v>
      </c>
      <c r="I86" s="24" t="s">
        <v>457</v>
      </c>
      <c r="J86" s="24" t="s">
        <v>47</v>
      </c>
      <c r="K86" s="24" t="s">
        <v>47</v>
      </c>
      <c r="L86" s="38" t="s">
        <v>803</v>
      </c>
      <c r="M86" s="38" t="s">
        <v>804</v>
      </c>
      <c r="N86" s="38">
        <v>328</v>
      </c>
      <c r="O86" s="38" t="s">
        <v>807</v>
      </c>
      <c r="P86" s="38" t="s">
        <v>808</v>
      </c>
      <c r="Q86" s="38">
        <v>273</v>
      </c>
      <c r="R86" s="38" t="s">
        <v>809</v>
      </c>
      <c r="S86" s="38" t="s">
        <v>811</v>
      </c>
      <c r="T86" s="38">
        <v>350</v>
      </c>
      <c r="U86" s="38" t="s">
        <v>801</v>
      </c>
      <c r="V86" s="38" t="s">
        <v>802</v>
      </c>
      <c r="W86" s="86">
        <v>0.31</v>
      </c>
      <c r="X86" s="49"/>
      <c r="Y86" s="135"/>
      <c r="Z86" s="135"/>
      <c r="AA86" s="135"/>
      <c r="AB86" s="135"/>
      <c r="AC86" s="135"/>
      <c r="AD86" s="135"/>
      <c r="AE86" s="135"/>
      <c r="AF86" s="49"/>
      <c r="AG86" s="49"/>
      <c r="AH86" s="49"/>
    </row>
    <row r="87" spans="2:34" s="4" customFormat="1" ht="165.75" x14ac:dyDescent="0.25">
      <c r="B87" s="24" t="s">
        <v>269</v>
      </c>
      <c r="C87" s="13" t="s">
        <v>950</v>
      </c>
      <c r="D87" s="13" t="s">
        <v>609</v>
      </c>
      <c r="E87" s="13" t="s">
        <v>610</v>
      </c>
      <c r="F87" s="13" t="s">
        <v>603</v>
      </c>
      <c r="G87" s="13" t="s">
        <v>469</v>
      </c>
      <c r="H87" s="13" t="s">
        <v>604</v>
      </c>
      <c r="I87" s="13" t="s">
        <v>457</v>
      </c>
      <c r="J87" s="13" t="s">
        <v>47</v>
      </c>
      <c r="K87" s="13" t="s">
        <v>47</v>
      </c>
      <c r="L87" s="31" t="s">
        <v>803</v>
      </c>
      <c r="M87" s="31" t="s">
        <v>804</v>
      </c>
      <c r="N87" s="38">
        <v>20</v>
      </c>
      <c r="O87" s="31" t="s">
        <v>807</v>
      </c>
      <c r="P87" s="31" t="s">
        <v>808</v>
      </c>
      <c r="Q87" s="42">
        <v>210</v>
      </c>
      <c r="R87" s="42" t="s">
        <v>809</v>
      </c>
      <c r="S87" s="42" t="s">
        <v>811</v>
      </c>
      <c r="T87" s="86">
        <v>194</v>
      </c>
      <c r="U87" s="42" t="s">
        <v>801</v>
      </c>
      <c r="V87" s="42" t="s">
        <v>802</v>
      </c>
      <c r="W87" s="42">
        <v>2.4300000000000002</v>
      </c>
      <c r="X87" s="49"/>
      <c r="Y87" s="135"/>
      <c r="Z87" s="135"/>
      <c r="AA87" s="135"/>
      <c r="AB87" s="135"/>
      <c r="AC87" s="135"/>
      <c r="AD87" s="135"/>
      <c r="AE87" s="135"/>
      <c r="AF87" s="49"/>
      <c r="AG87" s="49"/>
      <c r="AH87" s="49"/>
    </row>
    <row r="88" spans="2:34" s="4" customFormat="1" ht="140.25" x14ac:dyDescent="0.25">
      <c r="B88" s="24" t="s">
        <v>271</v>
      </c>
      <c r="C88" s="24" t="s">
        <v>943</v>
      </c>
      <c r="D88" s="51" t="s">
        <v>953</v>
      </c>
      <c r="E88" s="24" t="s">
        <v>611</v>
      </c>
      <c r="F88" s="24" t="s">
        <v>603</v>
      </c>
      <c r="G88" s="24" t="s">
        <v>541</v>
      </c>
      <c r="H88" s="24" t="s">
        <v>604</v>
      </c>
      <c r="I88" s="24" t="s">
        <v>457</v>
      </c>
      <c r="J88" s="24" t="s">
        <v>47</v>
      </c>
      <c r="K88" s="24" t="s">
        <v>47</v>
      </c>
      <c r="L88" s="38" t="s">
        <v>803</v>
      </c>
      <c r="M88" s="38" t="s">
        <v>812</v>
      </c>
      <c r="N88" s="38">
        <v>544</v>
      </c>
      <c r="O88" s="38" t="s">
        <v>807</v>
      </c>
      <c r="P88" s="38" t="s">
        <v>813</v>
      </c>
      <c r="Q88" s="38">
        <v>634</v>
      </c>
      <c r="R88" s="31"/>
      <c r="S88" s="31"/>
      <c r="T88" s="31"/>
      <c r="U88" s="31"/>
      <c r="V88" s="31"/>
      <c r="W88" s="42"/>
      <c r="X88" s="49"/>
      <c r="Y88" s="135"/>
      <c r="Z88" s="135"/>
      <c r="AA88" s="135"/>
      <c r="AB88" s="135"/>
      <c r="AC88" s="135"/>
      <c r="AD88" s="135"/>
      <c r="AE88" s="135"/>
      <c r="AF88" s="49"/>
      <c r="AG88" s="49"/>
      <c r="AH88" s="49"/>
    </row>
    <row r="89" spans="2:34" s="4" customFormat="1" ht="102.75" customHeight="1" x14ac:dyDescent="0.25">
      <c r="B89" s="59" t="s">
        <v>954</v>
      </c>
      <c r="C89" s="59" t="s">
        <v>955</v>
      </c>
      <c r="D89" s="59" t="s">
        <v>956</v>
      </c>
      <c r="E89" s="59" t="s">
        <v>957</v>
      </c>
      <c r="F89" s="59" t="s">
        <v>603</v>
      </c>
      <c r="G89" s="59" t="s">
        <v>531</v>
      </c>
      <c r="H89" s="59" t="s">
        <v>604</v>
      </c>
      <c r="I89" s="59" t="s">
        <v>457</v>
      </c>
      <c r="J89" s="59" t="s">
        <v>47</v>
      </c>
      <c r="K89" s="59" t="s">
        <v>47</v>
      </c>
      <c r="L89" s="42" t="s">
        <v>801</v>
      </c>
      <c r="M89" s="42" t="s">
        <v>802</v>
      </c>
      <c r="N89" s="42">
        <v>0.93</v>
      </c>
      <c r="O89" s="42"/>
      <c r="P89" s="42"/>
      <c r="Q89" s="42"/>
      <c r="R89" s="42"/>
      <c r="S89" s="42"/>
      <c r="T89" s="42"/>
      <c r="U89" s="42"/>
      <c r="V89" s="42"/>
      <c r="W89" s="42"/>
      <c r="X89" s="49"/>
      <c r="Y89" s="135"/>
      <c r="Z89" s="135"/>
      <c r="AA89" s="135"/>
      <c r="AB89" s="135"/>
      <c r="AC89" s="135"/>
      <c r="AD89" s="135"/>
      <c r="AE89" s="135"/>
      <c r="AF89" s="49"/>
      <c r="AG89" s="49"/>
      <c r="AH89" s="49"/>
    </row>
    <row r="90" spans="2:34" s="4" customFormat="1" ht="189.75" customHeight="1" x14ac:dyDescent="0.25">
      <c r="B90" s="59" t="s">
        <v>958</v>
      </c>
      <c r="C90" s="59" t="s">
        <v>959</v>
      </c>
      <c r="D90" s="59" t="s">
        <v>960</v>
      </c>
      <c r="E90" s="59" t="s">
        <v>611</v>
      </c>
      <c r="F90" s="59" t="s">
        <v>603</v>
      </c>
      <c r="G90" s="59" t="s">
        <v>541</v>
      </c>
      <c r="H90" s="59" t="s">
        <v>604</v>
      </c>
      <c r="I90" s="59" t="s">
        <v>457</v>
      </c>
      <c r="J90" s="59" t="s">
        <v>47</v>
      </c>
      <c r="K90" s="59" t="s">
        <v>47</v>
      </c>
      <c r="L90" s="42" t="s">
        <v>803</v>
      </c>
      <c r="M90" s="42" t="s">
        <v>804</v>
      </c>
      <c r="N90" s="86">
        <v>153</v>
      </c>
      <c r="O90" s="86" t="s">
        <v>805</v>
      </c>
      <c r="P90" s="86" t="s">
        <v>806</v>
      </c>
      <c r="Q90" s="86">
        <v>153</v>
      </c>
      <c r="R90" s="86" t="s">
        <v>807</v>
      </c>
      <c r="S90" s="86" t="s">
        <v>808</v>
      </c>
      <c r="T90" s="86">
        <v>153</v>
      </c>
      <c r="U90" s="86" t="s">
        <v>809</v>
      </c>
      <c r="V90" s="86" t="s">
        <v>810</v>
      </c>
      <c r="W90" s="86">
        <v>153</v>
      </c>
      <c r="X90" s="126"/>
      <c r="Y90" s="167"/>
      <c r="Z90" s="167"/>
      <c r="AA90" s="135"/>
      <c r="AB90" s="135"/>
      <c r="AC90" s="135"/>
      <c r="AD90" s="135"/>
      <c r="AE90" s="135"/>
      <c r="AF90" s="49"/>
      <c r="AG90" s="49"/>
      <c r="AH90" s="49"/>
    </row>
    <row r="91" spans="2:34" s="84" customFormat="1" ht="126.75" customHeight="1" x14ac:dyDescent="0.25">
      <c r="B91" s="51" t="s">
        <v>961</v>
      </c>
      <c r="C91" s="51" t="s">
        <v>962</v>
      </c>
      <c r="D91" s="51" t="s">
        <v>963</v>
      </c>
      <c r="E91" s="51" t="s">
        <v>608</v>
      </c>
      <c r="F91" s="51" t="s">
        <v>603</v>
      </c>
      <c r="G91" s="51" t="s">
        <v>460</v>
      </c>
      <c r="H91" s="51" t="s">
        <v>604</v>
      </c>
      <c r="I91" s="51" t="s">
        <v>457</v>
      </c>
      <c r="J91" s="51" t="s">
        <v>47</v>
      </c>
      <c r="K91" s="51" t="s">
        <v>47</v>
      </c>
      <c r="L91" s="86" t="s">
        <v>803</v>
      </c>
      <c r="M91" s="86" t="s">
        <v>804</v>
      </c>
      <c r="N91" s="86">
        <v>288</v>
      </c>
      <c r="O91" s="86" t="s">
        <v>807</v>
      </c>
      <c r="P91" s="86" t="s">
        <v>808</v>
      </c>
      <c r="Q91" s="86">
        <v>288</v>
      </c>
      <c r="R91" s="86"/>
      <c r="S91" s="86"/>
      <c r="T91" s="86"/>
      <c r="U91" s="86"/>
      <c r="V91" s="86"/>
      <c r="W91" s="86"/>
      <c r="X91" s="141"/>
      <c r="Y91" s="168"/>
      <c r="Z91" s="168"/>
      <c r="AA91" s="128"/>
      <c r="AB91" s="128"/>
      <c r="AC91" s="128"/>
      <c r="AD91" s="128"/>
      <c r="AE91" s="128"/>
      <c r="AF91" s="95"/>
      <c r="AG91" s="95"/>
      <c r="AH91" s="95"/>
    </row>
    <row r="92" spans="2:34" s="84" customFormat="1" ht="186" customHeight="1" x14ac:dyDescent="0.25">
      <c r="B92" s="51" t="s">
        <v>965</v>
      </c>
      <c r="C92" s="51" t="s">
        <v>966</v>
      </c>
      <c r="D92" s="51" t="s">
        <v>964</v>
      </c>
      <c r="E92" s="51" t="s">
        <v>606</v>
      </c>
      <c r="F92" s="51" t="s">
        <v>603</v>
      </c>
      <c r="G92" s="51" t="s">
        <v>539</v>
      </c>
      <c r="H92" s="51" t="s">
        <v>604</v>
      </c>
      <c r="I92" s="51" t="s">
        <v>457</v>
      </c>
      <c r="J92" s="51" t="s">
        <v>47</v>
      </c>
      <c r="K92" s="51" t="s">
        <v>47</v>
      </c>
      <c r="L92" s="86" t="s">
        <v>803</v>
      </c>
      <c r="M92" s="86" t="s">
        <v>804</v>
      </c>
      <c r="N92" s="86">
        <v>44</v>
      </c>
      <c r="O92" s="86" t="s">
        <v>807</v>
      </c>
      <c r="P92" s="86" t="s">
        <v>808</v>
      </c>
      <c r="Q92" s="86">
        <v>93</v>
      </c>
      <c r="R92" s="86" t="s">
        <v>809</v>
      </c>
      <c r="S92" s="86" t="s">
        <v>810</v>
      </c>
      <c r="T92" s="86">
        <v>62</v>
      </c>
      <c r="U92" s="86"/>
      <c r="V92" s="86"/>
      <c r="W92" s="86"/>
      <c r="X92" s="141"/>
      <c r="Y92" s="168"/>
      <c r="Z92" s="168"/>
      <c r="AA92" s="128"/>
      <c r="AB92" s="128"/>
      <c r="AC92" s="128"/>
      <c r="AD92" s="128"/>
      <c r="AE92" s="128"/>
      <c r="AF92" s="95"/>
      <c r="AG92" s="95"/>
      <c r="AH92" s="95"/>
    </row>
    <row r="93" spans="2:34" s="84" customFormat="1" ht="116.25" customHeight="1" x14ac:dyDescent="0.25">
      <c r="B93" s="51" t="s">
        <v>1023</v>
      </c>
      <c r="C93" s="51" t="s">
        <v>1024</v>
      </c>
      <c r="D93" s="51" t="s">
        <v>1025</v>
      </c>
      <c r="E93" s="51" t="s">
        <v>1026</v>
      </c>
      <c r="F93" s="51" t="s">
        <v>603</v>
      </c>
      <c r="G93" s="51" t="s">
        <v>586</v>
      </c>
      <c r="H93" s="51" t="s">
        <v>604</v>
      </c>
      <c r="I93" s="51" t="s">
        <v>457</v>
      </c>
      <c r="J93" s="51" t="s">
        <v>47</v>
      </c>
      <c r="K93" s="51" t="s">
        <v>47</v>
      </c>
      <c r="L93" s="86" t="s">
        <v>803</v>
      </c>
      <c r="M93" s="86" t="s">
        <v>804</v>
      </c>
      <c r="N93" s="86">
        <v>32</v>
      </c>
      <c r="O93" s="86" t="s">
        <v>807</v>
      </c>
      <c r="P93" s="86" t="s">
        <v>808</v>
      </c>
      <c r="Q93" s="86">
        <v>107</v>
      </c>
      <c r="R93" s="86" t="s">
        <v>801</v>
      </c>
      <c r="S93" s="86" t="s">
        <v>802</v>
      </c>
      <c r="T93" s="86">
        <v>0.107</v>
      </c>
      <c r="U93" s="86"/>
      <c r="V93" s="86"/>
      <c r="W93" s="86"/>
      <c r="X93" s="141"/>
      <c r="Y93" s="168"/>
      <c r="Z93" s="168"/>
      <c r="AA93" s="128"/>
      <c r="AB93" s="128"/>
      <c r="AC93" s="128"/>
      <c r="AD93" s="128"/>
      <c r="AE93" s="128"/>
      <c r="AF93" s="95"/>
      <c r="AG93" s="95"/>
      <c r="AH93" s="95"/>
    </row>
    <row r="94" spans="2:34" s="4" customFormat="1" ht="38.25" x14ac:dyDescent="0.25">
      <c r="B94" s="22" t="s">
        <v>272</v>
      </c>
      <c r="C94" s="22"/>
      <c r="D94" s="22" t="s">
        <v>273</v>
      </c>
      <c r="E94" s="22"/>
      <c r="F94" s="22"/>
      <c r="G94" s="22"/>
      <c r="H94" s="22"/>
      <c r="I94" s="22"/>
      <c r="J94" s="22"/>
      <c r="K94" s="22"/>
      <c r="L94" s="22"/>
      <c r="M94" s="22"/>
      <c r="N94" s="22"/>
      <c r="O94" s="22"/>
      <c r="P94" s="22"/>
      <c r="Q94" s="22"/>
      <c r="R94" s="22"/>
      <c r="S94" s="22"/>
      <c r="T94" s="22"/>
      <c r="U94" s="22"/>
      <c r="V94" s="22"/>
      <c r="W94" s="60"/>
      <c r="X94" s="49"/>
      <c r="Y94" s="135"/>
      <c r="Z94" s="135"/>
      <c r="AA94" s="135"/>
      <c r="AB94" s="135"/>
      <c r="AC94" s="135"/>
      <c r="AD94" s="135"/>
      <c r="AE94" s="135"/>
      <c r="AF94" s="49"/>
      <c r="AG94" s="49"/>
      <c r="AH94" s="49"/>
    </row>
    <row r="95" spans="2:34" s="4" customFormat="1" ht="104.25" customHeight="1" x14ac:dyDescent="0.25">
      <c r="B95" s="24" t="s">
        <v>274</v>
      </c>
      <c r="C95" s="24" t="s">
        <v>620</v>
      </c>
      <c r="D95" s="24" t="s">
        <v>275</v>
      </c>
      <c r="E95" s="24" t="s">
        <v>616</v>
      </c>
      <c r="F95" s="24" t="s">
        <v>603</v>
      </c>
      <c r="G95" s="24" t="s">
        <v>508</v>
      </c>
      <c r="H95" s="24" t="s">
        <v>617</v>
      </c>
      <c r="I95" s="24" t="s">
        <v>457</v>
      </c>
      <c r="J95" s="24" t="s">
        <v>47</v>
      </c>
      <c r="K95" s="24" t="s">
        <v>47</v>
      </c>
      <c r="L95" s="38" t="s">
        <v>814</v>
      </c>
      <c r="M95" s="38" t="s">
        <v>815</v>
      </c>
      <c r="N95" s="38">
        <v>52.58</v>
      </c>
      <c r="O95" s="38" t="s">
        <v>816</v>
      </c>
      <c r="P95" s="38" t="s">
        <v>817</v>
      </c>
      <c r="Q95" s="38">
        <v>20.25</v>
      </c>
      <c r="R95" s="31"/>
      <c r="S95" s="31"/>
      <c r="T95" s="31"/>
      <c r="U95" s="31"/>
      <c r="V95" s="31"/>
      <c r="W95" s="42"/>
      <c r="X95" s="49"/>
      <c r="Y95" s="135"/>
      <c r="Z95" s="135"/>
      <c r="AA95" s="135"/>
      <c r="AB95" s="135"/>
      <c r="AC95" s="135"/>
      <c r="AD95" s="135"/>
      <c r="AE95" s="135"/>
      <c r="AF95" s="49"/>
      <c r="AG95" s="49"/>
      <c r="AH95" s="49"/>
    </row>
    <row r="96" spans="2:34" s="4" customFormat="1" ht="103.5" customHeight="1" x14ac:dyDescent="0.25">
      <c r="B96" s="24" t="s">
        <v>276</v>
      </c>
      <c r="C96" s="24" t="s">
        <v>621</v>
      </c>
      <c r="D96" s="24" t="s">
        <v>277</v>
      </c>
      <c r="E96" s="24" t="s">
        <v>618</v>
      </c>
      <c r="F96" s="24" t="s">
        <v>603</v>
      </c>
      <c r="G96" s="24" t="s">
        <v>543</v>
      </c>
      <c r="H96" s="24" t="s">
        <v>619</v>
      </c>
      <c r="I96" s="24" t="s">
        <v>457</v>
      </c>
      <c r="J96" s="24" t="s">
        <v>458</v>
      </c>
      <c r="K96" s="24" t="s">
        <v>47</v>
      </c>
      <c r="L96" s="38" t="s">
        <v>814</v>
      </c>
      <c r="M96" s="38" t="s">
        <v>818</v>
      </c>
      <c r="N96" s="38">
        <v>71.92</v>
      </c>
      <c r="O96" s="38"/>
      <c r="P96" s="38"/>
      <c r="Q96" s="38"/>
      <c r="R96" s="31"/>
      <c r="S96" s="31"/>
      <c r="T96" s="31"/>
      <c r="U96" s="31"/>
      <c r="V96" s="31"/>
      <c r="W96" s="42"/>
      <c r="X96" s="49"/>
      <c r="Y96" s="135"/>
      <c r="Z96" s="135"/>
      <c r="AA96" s="135"/>
      <c r="AB96" s="135"/>
      <c r="AC96" s="135"/>
      <c r="AD96" s="135"/>
      <c r="AE96" s="135"/>
      <c r="AF96" s="49"/>
      <c r="AG96" s="49"/>
      <c r="AH96" s="49"/>
    </row>
    <row r="97" spans="2:34" s="4" customFormat="1" ht="63.75" x14ac:dyDescent="0.25">
      <c r="B97" s="22" t="s">
        <v>278</v>
      </c>
      <c r="C97" s="22"/>
      <c r="D97" s="22" t="s">
        <v>279</v>
      </c>
      <c r="E97" s="22"/>
      <c r="F97" s="22"/>
      <c r="G97" s="22"/>
      <c r="H97" s="22"/>
      <c r="I97" s="22"/>
      <c r="J97" s="22"/>
      <c r="K97" s="22"/>
      <c r="L97" s="35"/>
      <c r="M97" s="35"/>
      <c r="N97" s="35"/>
      <c r="O97" s="35"/>
      <c r="P97" s="35"/>
      <c r="Q97" s="35"/>
      <c r="R97" s="35"/>
      <c r="S97" s="35"/>
      <c r="T97" s="35"/>
      <c r="U97" s="35"/>
      <c r="V97" s="35"/>
      <c r="W97" s="130"/>
      <c r="X97" s="49"/>
      <c r="Y97" s="135"/>
      <c r="Z97" s="135"/>
      <c r="AA97" s="135"/>
      <c r="AB97" s="135"/>
      <c r="AC97" s="135"/>
      <c r="AD97" s="135"/>
      <c r="AE97" s="135"/>
      <c r="AF97" s="49"/>
      <c r="AG97" s="49"/>
      <c r="AH97" s="49"/>
    </row>
    <row r="98" spans="2:34" s="4" customFormat="1" ht="77.25" customHeight="1" x14ac:dyDescent="0.25">
      <c r="B98" s="24" t="s">
        <v>280</v>
      </c>
      <c r="C98" s="13" t="s">
        <v>631</v>
      </c>
      <c r="D98" s="13" t="s">
        <v>281</v>
      </c>
      <c r="E98" s="13" t="s">
        <v>503</v>
      </c>
      <c r="F98" s="13" t="s">
        <v>603</v>
      </c>
      <c r="G98" s="13" t="s">
        <v>504</v>
      </c>
      <c r="H98" s="13" t="s">
        <v>622</v>
      </c>
      <c r="I98" s="13" t="s">
        <v>457</v>
      </c>
      <c r="J98" s="13" t="s">
        <v>47</v>
      </c>
      <c r="K98" s="13" t="s">
        <v>47</v>
      </c>
      <c r="L98" s="31" t="s">
        <v>819</v>
      </c>
      <c r="M98" s="31" t="s">
        <v>820</v>
      </c>
      <c r="N98" s="42">
        <v>1105.32</v>
      </c>
      <c r="O98" s="31"/>
      <c r="P98" s="31"/>
      <c r="Q98" s="31"/>
      <c r="R98" s="31"/>
      <c r="S98" s="31"/>
      <c r="T98" s="31"/>
      <c r="U98" s="31"/>
      <c r="V98" s="31"/>
      <c r="W98" s="42"/>
      <c r="X98" s="49"/>
      <c r="Y98" s="135"/>
      <c r="Z98" s="135"/>
      <c r="AA98" s="135"/>
      <c r="AB98" s="135"/>
      <c r="AC98" s="135"/>
      <c r="AD98" s="135"/>
      <c r="AE98" s="135"/>
      <c r="AF98" s="49"/>
      <c r="AG98" s="49"/>
      <c r="AH98" s="49"/>
    </row>
    <row r="99" spans="2:34" s="4" customFormat="1" ht="123" customHeight="1" x14ac:dyDescent="0.25">
      <c r="B99" s="24" t="s">
        <v>282</v>
      </c>
      <c r="C99" s="24" t="s">
        <v>632</v>
      </c>
      <c r="D99" s="24" t="s">
        <v>283</v>
      </c>
      <c r="E99" s="24" t="s">
        <v>623</v>
      </c>
      <c r="F99" s="24" t="s">
        <v>603</v>
      </c>
      <c r="G99" s="24" t="s">
        <v>501</v>
      </c>
      <c r="H99" s="24" t="s">
        <v>624</v>
      </c>
      <c r="I99" s="24" t="s">
        <v>457</v>
      </c>
      <c r="J99" s="24" t="s">
        <v>47</v>
      </c>
      <c r="K99" s="24" t="s">
        <v>47</v>
      </c>
      <c r="L99" s="38" t="s">
        <v>819</v>
      </c>
      <c r="M99" s="38" t="s">
        <v>821</v>
      </c>
      <c r="N99" s="86">
        <v>729</v>
      </c>
      <c r="O99" s="31"/>
      <c r="P99" s="31"/>
      <c r="Q99" s="31"/>
      <c r="R99" s="31"/>
      <c r="S99" s="31"/>
      <c r="T99" s="31"/>
      <c r="U99" s="31"/>
      <c r="V99" s="31"/>
      <c r="W99" s="42"/>
      <c r="X99" s="49"/>
      <c r="Y99" s="135"/>
      <c r="Z99" s="135"/>
      <c r="AA99" s="135"/>
      <c r="AB99" s="135"/>
      <c r="AC99" s="135"/>
      <c r="AD99" s="135"/>
      <c r="AE99" s="135"/>
      <c r="AF99" s="49"/>
      <c r="AG99" s="49"/>
      <c r="AH99" s="49"/>
    </row>
    <row r="100" spans="2:34" s="4" customFormat="1" ht="127.5" x14ac:dyDescent="0.25">
      <c r="B100" s="24" t="s">
        <v>284</v>
      </c>
      <c r="C100" s="13" t="s">
        <v>633</v>
      </c>
      <c r="D100" s="13" t="s">
        <v>285</v>
      </c>
      <c r="E100" s="13" t="s">
        <v>625</v>
      </c>
      <c r="F100" s="13" t="s">
        <v>603</v>
      </c>
      <c r="G100" s="13" t="s">
        <v>455</v>
      </c>
      <c r="H100" s="13" t="s">
        <v>622</v>
      </c>
      <c r="I100" s="13" t="s">
        <v>457</v>
      </c>
      <c r="J100" s="13" t="s">
        <v>47</v>
      </c>
      <c r="K100" s="13" t="s">
        <v>47</v>
      </c>
      <c r="L100" s="31" t="s">
        <v>819</v>
      </c>
      <c r="M100" s="31" t="s">
        <v>822</v>
      </c>
      <c r="N100" s="42">
        <v>2553.5</v>
      </c>
      <c r="O100" s="31"/>
      <c r="P100" s="31"/>
      <c r="Q100" s="31"/>
      <c r="R100" s="31"/>
      <c r="S100" s="31"/>
      <c r="T100" s="31"/>
      <c r="U100" s="31"/>
      <c r="V100" s="31"/>
      <c r="W100" s="42"/>
      <c r="X100" s="49"/>
      <c r="Y100" s="135"/>
      <c r="Z100" s="135"/>
      <c r="AA100" s="135"/>
      <c r="AB100" s="135"/>
      <c r="AC100" s="135"/>
      <c r="AD100" s="135"/>
      <c r="AE100" s="135"/>
      <c r="AF100" s="49"/>
      <c r="AG100" s="49"/>
      <c r="AH100" s="49"/>
    </row>
    <row r="101" spans="2:34" s="4" customFormat="1" ht="127.5" x14ac:dyDescent="0.25">
      <c r="B101" s="24" t="s">
        <v>286</v>
      </c>
      <c r="C101" s="24" t="s">
        <v>634</v>
      </c>
      <c r="D101" s="24" t="s">
        <v>287</v>
      </c>
      <c r="E101" s="24" t="s">
        <v>626</v>
      </c>
      <c r="F101" s="24" t="s">
        <v>603</v>
      </c>
      <c r="G101" s="24" t="s">
        <v>469</v>
      </c>
      <c r="H101" s="24" t="s">
        <v>622</v>
      </c>
      <c r="I101" s="24" t="s">
        <v>457</v>
      </c>
      <c r="J101" s="24" t="s">
        <v>47</v>
      </c>
      <c r="K101" s="24" t="s">
        <v>47</v>
      </c>
      <c r="L101" s="38" t="s">
        <v>819</v>
      </c>
      <c r="M101" s="38" t="s">
        <v>822</v>
      </c>
      <c r="N101" s="38">
        <v>984</v>
      </c>
      <c r="O101" s="31"/>
      <c r="P101" s="31"/>
      <c r="Q101" s="31"/>
      <c r="R101" s="31"/>
      <c r="S101" s="31"/>
      <c r="T101" s="31"/>
      <c r="U101" s="31"/>
      <c r="V101" s="31"/>
      <c r="W101" s="42"/>
      <c r="X101" s="49"/>
      <c r="Y101" s="135"/>
      <c r="Z101" s="135"/>
      <c r="AA101" s="135"/>
      <c r="AB101" s="135"/>
      <c r="AC101" s="135"/>
      <c r="AD101" s="135"/>
      <c r="AE101" s="135"/>
      <c r="AF101" s="49"/>
      <c r="AG101" s="49"/>
      <c r="AH101" s="49"/>
    </row>
    <row r="102" spans="2:34" s="4" customFormat="1" ht="114.75" customHeight="1" x14ac:dyDescent="0.25">
      <c r="B102" s="24" t="s">
        <v>288</v>
      </c>
      <c r="C102" s="13" t="s">
        <v>635</v>
      </c>
      <c r="D102" s="13" t="s">
        <v>289</v>
      </c>
      <c r="E102" s="13" t="s">
        <v>627</v>
      </c>
      <c r="F102" s="13" t="s">
        <v>603</v>
      </c>
      <c r="G102" s="13" t="s">
        <v>539</v>
      </c>
      <c r="H102" s="13" t="s">
        <v>622</v>
      </c>
      <c r="I102" s="13" t="s">
        <v>457</v>
      </c>
      <c r="J102" s="13" t="s">
        <v>47</v>
      </c>
      <c r="K102" s="13" t="s">
        <v>47</v>
      </c>
      <c r="L102" s="31" t="s">
        <v>819</v>
      </c>
      <c r="M102" s="31" t="s">
        <v>820</v>
      </c>
      <c r="N102" s="42">
        <v>1213.93</v>
      </c>
      <c r="O102" s="31"/>
      <c r="P102" s="31"/>
      <c r="Q102" s="31"/>
      <c r="R102" s="31"/>
      <c r="S102" s="31"/>
      <c r="T102" s="31"/>
      <c r="U102" s="31"/>
      <c r="V102" s="31"/>
      <c r="W102" s="42"/>
      <c r="X102" s="49"/>
      <c r="Y102" s="135"/>
      <c r="Z102" s="135"/>
      <c r="AA102" s="135"/>
      <c r="AB102" s="135"/>
      <c r="AC102" s="135"/>
      <c r="AD102" s="135"/>
      <c r="AE102" s="135"/>
      <c r="AF102" s="49"/>
      <c r="AG102" s="49"/>
      <c r="AH102" s="49"/>
    </row>
    <row r="103" spans="2:34" s="4" customFormat="1" ht="79.5" customHeight="1" x14ac:dyDescent="0.25">
      <c r="B103" s="24" t="s">
        <v>290</v>
      </c>
      <c r="C103" s="24" t="s">
        <v>636</v>
      </c>
      <c r="D103" s="24" t="s">
        <v>291</v>
      </c>
      <c r="E103" s="24" t="s">
        <v>507</v>
      </c>
      <c r="F103" s="24" t="s">
        <v>628</v>
      </c>
      <c r="G103" s="24" t="s">
        <v>541</v>
      </c>
      <c r="H103" s="24" t="s">
        <v>622</v>
      </c>
      <c r="I103" s="24" t="s">
        <v>457</v>
      </c>
      <c r="J103" s="24" t="s">
        <v>47</v>
      </c>
      <c r="K103" s="24" t="s">
        <v>47</v>
      </c>
      <c r="L103" s="38" t="s">
        <v>819</v>
      </c>
      <c r="M103" s="38" t="s">
        <v>823</v>
      </c>
      <c r="N103" s="38">
        <v>1123</v>
      </c>
      <c r="O103" s="31"/>
      <c r="P103" s="31"/>
      <c r="Q103" s="31"/>
      <c r="R103" s="31"/>
      <c r="S103" s="31"/>
      <c r="T103" s="31"/>
      <c r="U103" s="31"/>
      <c r="V103" s="31"/>
      <c r="W103" s="42"/>
      <c r="X103" s="49"/>
      <c r="Y103" s="135"/>
      <c r="Z103" s="135"/>
      <c r="AA103" s="135"/>
      <c r="AB103" s="135"/>
      <c r="AC103" s="135"/>
      <c r="AD103" s="135"/>
      <c r="AE103" s="135"/>
      <c r="AF103" s="49"/>
      <c r="AG103" s="49"/>
      <c r="AH103" s="49"/>
    </row>
    <row r="104" spans="2:34" s="4" customFormat="1" ht="38.25" x14ac:dyDescent="0.25">
      <c r="B104" s="22" t="s">
        <v>295</v>
      </c>
      <c r="C104" s="22"/>
      <c r="D104" s="22" t="s">
        <v>296</v>
      </c>
      <c r="E104" s="22"/>
      <c r="F104" s="22"/>
      <c r="G104" s="22"/>
      <c r="H104" s="22"/>
      <c r="I104" s="22"/>
      <c r="J104" s="22"/>
      <c r="K104" s="22"/>
      <c r="L104" s="35"/>
      <c r="M104" s="35"/>
      <c r="N104" s="35"/>
      <c r="O104" s="35"/>
      <c r="P104" s="35"/>
      <c r="Q104" s="35"/>
      <c r="R104" s="35"/>
      <c r="S104" s="35"/>
      <c r="T104" s="35"/>
      <c r="U104" s="35"/>
      <c r="V104" s="35"/>
      <c r="W104" s="130"/>
      <c r="X104" s="49"/>
      <c r="Y104" s="135"/>
      <c r="Z104" s="135"/>
      <c r="AA104" s="135"/>
      <c r="AB104" s="135"/>
      <c r="AC104" s="135"/>
      <c r="AD104" s="135"/>
      <c r="AE104" s="135"/>
      <c r="AF104" s="49"/>
      <c r="AG104" s="49"/>
      <c r="AH104" s="49"/>
    </row>
    <row r="105" spans="2:34" s="84" customFormat="1" ht="98.25" customHeight="1" x14ac:dyDescent="0.25">
      <c r="B105" s="24" t="s">
        <v>297</v>
      </c>
      <c r="C105" s="24" t="s">
        <v>643</v>
      </c>
      <c r="D105" s="24" t="s">
        <v>298</v>
      </c>
      <c r="E105" s="24" t="s">
        <v>538</v>
      </c>
      <c r="F105" s="24" t="s">
        <v>603</v>
      </c>
      <c r="G105" s="24" t="s">
        <v>539</v>
      </c>
      <c r="H105" s="24" t="s">
        <v>637</v>
      </c>
      <c r="I105" s="24" t="s">
        <v>457</v>
      </c>
      <c r="J105" s="24" t="s">
        <v>47</v>
      </c>
      <c r="K105" s="24" t="s">
        <v>47</v>
      </c>
      <c r="L105" s="38" t="s">
        <v>824</v>
      </c>
      <c r="M105" s="38" t="s">
        <v>825</v>
      </c>
      <c r="N105" s="38">
        <v>2</v>
      </c>
      <c r="O105" s="38"/>
      <c r="P105" s="38"/>
      <c r="Q105" s="38"/>
      <c r="R105" s="38"/>
      <c r="S105" s="38"/>
      <c r="T105" s="38"/>
      <c r="U105" s="38"/>
      <c r="V105" s="38"/>
      <c r="W105" s="86"/>
      <c r="X105" s="95"/>
      <c r="Y105" s="128"/>
      <c r="Z105" s="128"/>
      <c r="AA105" s="128"/>
      <c r="AB105" s="128"/>
      <c r="AC105" s="128"/>
      <c r="AD105" s="128"/>
      <c r="AE105" s="128"/>
      <c r="AF105" s="95"/>
      <c r="AG105" s="95"/>
      <c r="AH105" s="95"/>
    </row>
    <row r="106" spans="2:34" s="84" customFormat="1" ht="89.25" x14ac:dyDescent="0.25">
      <c r="B106" s="24" t="s">
        <v>299</v>
      </c>
      <c r="C106" s="24" t="s">
        <v>644</v>
      </c>
      <c r="D106" s="24" t="s">
        <v>300</v>
      </c>
      <c r="E106" s="24" t="s">
        <v>468</v>
      </c>
      <c r="F106" s="24" t="s">
        <v>603</v>
      </c>
      <c r="G106" s="24" t="s">
        <v>469</v>
      </c>
      <c r="H106" s="24" t="s">
        <v>638</v>
      </c>
      <c r="I106" s="24" t="s">
        <v>457</v>
      </c>
      <c r="J106" s="24"/>
      <c r="K106" s="24"/>
      <c r="L106" s="38" t="s">
        <v>826</v>
      </c>
      <c r="M106" s="38" t="s">
        <v>827</v>
      </c>
      <c r="N106" s="38">
        <v>29</v>
      </c>
      <c r="O106" s="38" t="s">
        <v>828</v>
      </c>
      <c r="P106" s="38" t="s">
        <v>829</v>
      </c>
      <c r="Q106" s="38">
        <v>2.2799999999999998</v>
      </c>
      <c r="R106" s="38"/>
      <c r="S106" s="38"/>
      <c r="T106" s="38"/>
      <c r="U106" s="38"/>
      <c r="V106" s="38"/>
      <c r="W106" s="86"/>
      <c r="X106" s="95"/>
      <c r="Y106" s="128"/>
      <c r="Z106" s="128"/>
      <c r="AA106" s="128"/>
      <c r="AB106" s="128"/>
      <c r="AC106" s="128"/>
      <c r="AD106" s="128"/>
      <c r="AE106" s="128"/>
      <c r="AF106" s="95"/>
      <c r="AG106" s="95"/>
      <c r="AH106" s="95"/>
    </row>
    <row r="107" spans="2:34" s="84" customFormat="1" ht="90" customHeight="1" x14ac:dyDescent="0.25">
      <c r="B107" s="24" t="s">
        <v>301</v>
      </c>
      <c r="C107" s="24" t="s">
        <v>645</v>
      </c>
      <c r="D107" s="24" t="s">
        <v>302</v>
      </c>
      <c r="E107" s="24" t="s">
        <v>538</v>
      </c>
      <c r="F107" s="24" t="s">
        <v>603</v>
      </c>
      <c r="G107" s="24" t="s">
        <v>539</v>
      </c>
      <c r="H107" s="24" t="s">
        <v>637</v>
      </c>
      <c r="I107" s="24" t="s">
        <v>457</v>
      </c>
      <c r="J107" s="24" t="s">
        <v>47</v>
      </c>
      <c r="K107" s="24" t="s">
        <v>47</v>
      </c>
      <c r="L107" s="38" t="s">
        <v>830</v>
      </c>
      <c r="M107" s="38" t="s">
        <v>831</v>
      </c>
      <c r="N107" s="38">
        <v>3</v>
      </c>
      <c r="O107" s="38" t="s">
        <v>828</v>
      </c>
      <c r="P107" s="38" t="s">
        <v>829</v>
      </c>
      <c r="Q107" s="38">
        <v>28.9</v>
      </c>
      <c r="R107" s="38"/>
      <c r="S107" s="38"/>
      <c r="T107" s="38"/>
      <c r="U107" s="38"/>
      <c r="V107" s="38"/>
      <c r="W107" s="86"/>
      <c r="X107" s="95"/>
      <c r="Y107" s="128"/>
      <c r="Z107" s="128"/>
      <c r="AA107" s="128"/>
      <c r="AB107" s="128"/>
      <c r="AC107" s="128"/>
      <c r="AD107" s="128"/>
      <c r="AE107" s="128"/>
      <c r="AF107" s="95"/>
      <c r="AG107" s="95"/>
      <c r="AH107" s="95"/>
    </row>
    <row r="108" spans="2:34" s="84" customFormat="1" ht="87" customHeight="1" x14ac:dyDescent="0.25">
      <c r="B108" s="24" t="s">
        <v>303</v>
      </c>
      <c r="C108" s="24" t="s">
        <v>646</v>
      </c>
      <c r="D108" s="24" t="s">
        <v>304</v>
      </c>
      <c r="E108" s="24" t="s">
        <v>507</v>
      </c>
      <c r="F108" s="24" t="s">
        <v>603</v>
      </c>
      <c r="G108" s="24" t="s">
        <v>541</v>
      </c>
      <c r="H108" s="24" t="s">
        <v>638</v>
      </c>
      <c r="I108" s="24" t="s">
        <v>457</v>
      </c>
      <c r="J108" s="24"/>
      <c r="K108" s="24"/>
      <c r="L108" s="38" t="s">
        <v>830</v>
      </c>
      <c r="M108" s="38" t="s">
        <v>832</v>
      </c>
      <c r="N108" s="38">
        <v>1</v>
      </c>
      <c r="O108" s="38" t="s">
        <v>828</v>
      </c>
      <c r="P108" s="38" t="s">
        <v>829</v>
      </c>
      <c r="Q108" s="38">
        <v>30</v>
      </c>
      <c r="R108" s="38"/>
      <c r="S108" s="38"/>
      <c r="T108" s="38"/>
      <c r="U108" s="38"/>
      <c r="V108" s="38"/>
      <c r="W108" s="86"/>
      <c r="X108" s="95"/>
      <c r="Y108" s="128"/>
      <c r="Z108" s="128"/>
      <c r="AA108" s="128"/>
      <c r="AB108" s="128"/>
      <c r="AC108" s="128"/>
      <c r="AD108" s="128"/>
      <c r="AE108" s="128"/>
      <c r="AF108" s="95"/>
      <c r="AG108" s="95"/>
      <c r="AH108" s="95"/>
    </row>
    <row r="109" spans="2:34" s="84" customFormat="1" ht="105" customHeight="1" x14ac:dyDescent="0.25">
      <c r="B109" s="24" t="s">
        <v>305</v>
      </c>
      <c r="C109" s="24" t="s">
        <v>647</v>
      </c>
      <c r="D109" s="24" t="s">
        <v>306</v>
      </c>
      <c r="E109" s="24" t="s">
        <v>453</v>
      </c>
      <c r="F109" s="24" t="s">
        <v>603</v>
      </c>
      <c r="G109" s="24" t="s">
        <v>460</v>
      </c>
      <c r="H109" s="24" t="s">
        <v>637</v>
      </c>
      <c r="I109" s="24" t="s">
        <v>457</v>
      </c>
      <c r="J109" s="24" t="s">
        <v>47</v>
      </c>
      <c r="K109" s="24" t="s">
        <v>47</v>
      </c>
      <c r="L109" s="38" t="s">
        <v>826</v>
      </c>
      <c r="M109" s="38" t="s">
        <v>951</v>
      </c>
      <c r="N109" s="86">
        <v>68</v>
      </c>
      <c r="O109" s="86" t="s">
        <v>828</v>
      </c>
      <c r="P109" s="86" t="s">
        <v>829</v>
      </c>
      <c r="Q109" s="86">
        <v>18.32</v>
      </c>
      <c r="R109" s="38"/>
      <c r="S109" s="38"/>
      <c r="T109" s="38"/>
      <c r="U109" s="38"/>
      <c r="V109" s="38"/>
      <c r="W109" s="86"/>
      <c r="X109" s="95"/>
      <c r="Y109" s="128"/>
      <c r="Z109" s="128"/>
      <c r="AA109" s="128"/>
      <c r="AB109" s="128"/>
      <c r="AC109" s="128"/>
      <c r="AD109" s="128"/>
      <c r="AE109" s="128"/>
      <c r="AF109" s="95"/>
      <c r="AG109" s="95"/>
      <c r="AH109" s="95"/>
    </row>
    <row r="110" spans="2:34" s="84" customFormat="1" ht="89.25" x14ac:dyDescent="0.25">
      <c r="B110" s="51" t="s">
        <v>307</v>
      </c>
      <c r="C110" s="51" t="s">
        <v>648</v>
      </c>
      <c r="D110" s="51" t="s">
        <v>308</v>
      </c>
      <c r="E110" s="51" t="s">
        <v>453</v>
      </c>
      <c r="F110" s="51" t="s">
        <v>603</v>
      </c>
      <c r="G110" s="51" t="s">
        <v>460</v>
      </c>
      <c r="H110" s="51" t="s">
        <v>637</v>
      </c>
      <c r="I110" s="51" t="s">
        <v>457</v>
      </c>
      <c r="J110" s="51" t="s">
        <v>47</v>
      </c>
      <c r="K110" s="51" t="s">
        <v>47</v>
      </c>
      <c r="L110" s="86" t="s">
        <v>828</v>
      </c>
      <c r="M110" s="86" t="s">
        <v>829</v>
      </c>
      <c r="N110" s="134">
        <v>3.04</v>
      </c>
      <c r="O110" s="86" t="s">
        <v>826</v>
      </c>
      <c r="P110" s="86" t="s">
        <v>827</v>
      </c>
      <c r="Q110" s="86">
        <v>34</v>
      </c>
      <c r="R110" s="38"/>
      <c r="S110" s="38"/>
      <c r="T110" s="38"/>
      <c r="U110" s="38"/>
      <c r="V110" s="38"/>
      <c r="W110" s="86"/>
      <c r="X110" s="95"/>
      <c r="Y110" s="128"/>
      <c r="Z110" s="128"/>
      <c r="AA110" s="128"/>
      <c r="AB110" s="128"/>
      <c r="AC110" s="128"/>
      <c r="AD110" s="128"/>
      <c r="AE110" s="128"/>
      <c r="AF110" s="95"/>
      <c r="AG110" s="95"/>
      <c r="AH110" s="95"/>
    </row>
    <row r="111" spans="2:34" s="4" customFormat="1" ht="102" x14ac:dyDescent="0.25">
      <c r="B111" s="13" t="s">
        <v>309</v>
      </c>
      <c r="C111" s="13" t="s">
        <v>649</v>
      </c>
      <c r="D111" s="13" t="s">
        <v>310</v>
      </c>
      <c r="E111" s="13" t="s">
        <v>503</v>
      </c>
      <c r="F111" s="13" t="s">
        <v>603</v>
      </c>
      <c r="G111" s="13" t="s">
        <v>679</v>
      </c>
      <c r="H111" s="13" t="s">
        <v>637</v>
      </c>
      <c r="I111" s="13" t="s">
        <v>457</v>
      </c>
      <c r="J111" s="13" t="s">
        <v>47</v>
      </c>
      <c r="K111" s="13" t="s">
        <v>47</v>
      </c>
      <c r="L111" s="31" t="s">
        <v>830</v>
      </c>
      <c r="M111" s="31" t="s">
        <v>832</v>
      </c>
      <c r="N111" s="31">
        <v>1</v>
      </c>
      <c r="O111" s="31" t="s">
        <v>828</v>
      </c>
      <c r="P111" s="31" t="s">
        <v>829</v>
      </c>
      <c r="Q111" s="31">
        <v>20</v>
      </c>
      <c r="R111" s="31"/>
      <c r="S111" s="31"/>
      <c r="T111" s="31"/>
      <c r="U111" s="31"/>
      <c r="V111" s="31"/>
      <c r="W111" s="42"/>
      <c r="X111" s="49"/>
      <c r="Y111" s="135"/>
      <c r="Z111" s="135"/>
      <c r="AA111" s="135"/>
      <c r="AB111" s="135"/>
      <c r="AC111" s="135"/>
      <c r="AD111" s="135"/>
      <c r="AE111" s="135"/>
      <c r="AF111" s="49"/>
      <c r="AG111" s="49"/>
      <c r="AH111" s="49"/>
    </row>
    <row r="112" spans="2:34" s="4" customFormat="1" ht="114.75" x14ac:dyDescent="0.25">
      <c r="B112" s="13" t="s">
        <v>311</v>
      </c>
      <c r="C112" s="13" t="s">
        <v>650</v>
      </c>
      <c r="D112" s="13" t="s">
        <v>312</v>
      </c>
      <c r="E112" s="13" t="s">
        <v>507</v>
      </c>
      <c r="F112" s="13" t="s">
        <v>603</v>
      </c>
      <c r="G112" s="13" t="s">
        <v>541</v>
      </c>
      <c r="H112" s="13" t="s">
        <v>637</v>
      </c>
      <c r="I112" s="13" t="s">
        <v>457</v>
      </c>
      <c r="J112" s="13" t="s">
        <v>47</v>
      </c>
      <c r="K112" s="13" t="s">
        <v>47</v>
      </c>
      <c r="L112" s="31" t="s">
        <v>826</v>
      </c>
      <c r="M112" s="31" t="s">
        <v>827</v>
      </c>
      <c r="N112" s="86">
        <v>3</v>
      </c>
      <c r="O112" s="86" t="s">
        <v>828</v>
      </c>
      <c r="P112" s="86" t="s">
        <v>829</v>
      </c>
      <c r="Q112" s="86">
        <v>0.25</v>
      </c>
      <c r="R112" s="31"/>
      <c r="S112" s="31"/>
      <c r="T112" s="31"/>
      <c r="U112" s="31"/>
      <c r="V112" s="31"/>
      <c r="W112" s="42"/>
      <c r="X112" s="49"/>
      <c r="Y112" s="135"/>
      <c r="Z112" s="135"/>
      <c r="AA112" s="135"/>
      <c r="AB112" s="135"/>
      <c r="AC112" s="135"/>
      <c r="AD112" s="135"/>
      <c r="AE112" s="135"/>
      <c r="AF112" s="49"/>
      <c r="AG112" s="49"/>
      <c r="AH112" s="49"/>
    </row>
    <row r="113" spans="2:35" s="4" customFormat="1" ht="173.25" customHeight="1" x14ac:dyDescent="0.25">
      <c r="B113" s="13" t="s">
        <v>313</v>
      </c>
      <c r="C113" s="13" t="s">
        <v>651</v>
      </c>
      <c r="D113" s="13" t="s">
        <v>314</v>
      </c>
      <c r="E113" s="13" t="s">
        <v>468</v>
      </c>
      <c r="F113" s="13" t="s">
        <v>603</v>
      </c>
      <c r="G113" s="13" t="s">
        <v>469</v>
      </c>
      <c r="H113" s="13" t="s">
        <v>638</v>
      </c>
      <c r="I113" s="13" t="s">
        <v>457</v>
      </c>
      <c r="J113" s="13" t="s">
        <v>47</v>
      </c>
      <c r="K113" s="13" t="s">
        <v>47</v>
      </c>
      <c r="L113" s="31" t="s">
        <v>826</v>
      </c>
      <c r="M113" s="31" t="s">
        <v>827</v>
      </c>
      <c r="N113" s="42">
        <v>21</v>
      </c>
      <c r="O113" s="31" t="s">
        <v>824</v>
      </c>
      <c r="P113" s="31" t="s">
        <v>825</v>
      </c>
      <c r="Q113" s="31">
        <v>1</v>
      </c>
      <c r="R113" s="31"/>
      <c r="S113" s="31"/>
      <c r="T113" s="31"/>
      <c r="U113" s="31"/>
      <c r="V113" s="31"/>
      <c r="W113" s="42"/>
      <c r="X113" s="49"/>
      <c r="Y113" s="135"/>
      <c r="Z113" s="135"/>
      <c r="AA113" s="135"/>
      <c r="AB113" s="135"/>
      <c r="AC113" s="135"/>
      <c r="AD113" s="135"/>
      <c r="AE113" s="135"/>
      <c r="AF113" s="49"/>
      <c r="AG113" s="49"/>
      <c r="AH113" s="49"/>
    </row>
    <row r="114" spans="2:35" s="4" customFormat="1" ht="100.5" customHeight="1" x14ac:dyDescent="0.25">
      <c r="B114" s="13" t="s">
        <v>315</v>
      </c>
      <c r="C114" s="13" t="s">
        <v>652</v>
      </c>
      <c r="D114" s="13" t="s">
        <v>316</v>
      </c>
      <c r="E114" s="13" t="s">
        <v>500</v>
      </c>
      <c r="F114" s="13" t="s">
        <v>603</v>
      </c>
      <c r="G114" s="13" t="s">
        <v>501</v>
      </c>
      <c r="H114" s="13" t="s">
        <v>638</v>
      </c>
      <c r="I114" s="13" t="s">
        <v>457</v>
      </c>
      <c r="J114" s="13" t="s">
        <v>47</v>
      </c>
      <c r="K114" s="13" t="s">
        <v>47</v>
      </c>
      <c r="L114" s="31" t="s">
        <v>824</v>
      </c>
      <c r="M114" s="31" t="s">
        <v>825</v>
      </c>
      <c r="N114" s="31">
        <v>2</v>
      </c>
      <c r="O114" s="31" t="s">
        <v>830</v>
      </c>
      <c r="P114" s="31" t="s">
        <v>832</v>
      </c>
      <c r="Q114" s="31">
        <v>1</v>
      </c>
      <c r="R114" s="42" t="s">
        <v>828</v>
      </c>
      <c r="S114" s="42" t="s">
        <v>829</v>
      </c>
      <c r="T114" s="42">
        <v>10</v>
      </c>
      <c r="U114" s="31" t="s">
        <v>833</v>
      </c>
      <c r="V114" s="31" t="s">
        <v>834</v>
      </c>
      <c r="W114" s="42">
        <v>2</v>
      </c>
      <c r="X114" s="42" t="s">
        <v>826</v>
      </c>
      <c r="Y114" s="42" t="s">
        <v>827</v>
      </c>
      <c r="Z114" s="42">
        <v>8</v>
      </c>
      <c r="AA114" s="135"/>
      <c r="AB114" s="135"/>
      <c r="AC114" s="135"/>
      <c r="AD114" s="135"/>
      <c r="AE114" s="135"/>
      <c r="AF114" s="49"/>
      <c r="AG114" s="49"/>
      <c r="AH114" s="49"/>
      <c r="AI114" s="49"/>
    </row>
    <row r="115" spans="2:35" s="4" customFormat="1" ht="77.25" customHeight="1" x14ac:dyDescent="0.25">
      <c r="B115" s="25" t="s">
        <v>317</v>
      </c>
      <c r="C115" s="30"/>
      <c r="D115" s="25" t="s">
        <v>318</v>
      </c>
      <c r="E115" s="25"/>
      <c r="F115" s="25"/>
      <c r="G115" s="25"/>
      <c r="H115" s="30"/>
      <c r="I115" s="25"/>
      <c r="J115" s="25"/>
      <c r="K115" s="25"/>
      <c r="L115" s="36"/>
      <c r="M115" s="37"/>
      <c r="N115" s="36"/>
      <c r="O115" s="36"/>
      <c r="P115" s="36"/>
      <c r="Q115" s="36"/>
      <c r="R115" s="37"/>
      <c r="S115" s="36"/>
      <c r="T115" s="36"/>
      <c r="U115" s="36"/>
      <c r="V115" s="36"/>
      <c r="W115" s="140"/>
      <c r="X115" s="49"/>
      <c r="Y115" s="135"/>
      <c r="Z115" s="135"/>
      <c r="AA115" s="135"/>
      <c r="AB115" s="135"/>
      <c r="AC115" s="135"/>
      <c r="AD115" s="135"/>
      <c r="AE115" s="135"/>
      <c r="AF115" s="49"/>
      <c r="AG115" s="49"/>
      <c r="AH115" s="49"/>
    </row>
    <row r="116" spans="2:35" s="4" customFormat="1" ht="63.75" x14ac:dyDescent="0.25">
      <c r="B116" s="8" t="s">
        <v>319</v>
      </c>
      <c r="C116" s="21"/>
      <c r="D116" s="21" t="s">
        <v>320</v>
      </c>
      <c r="E116" s="8"/>
      <c r="F116" s="21"/>
      <c r="G116" s="21"/>
      <c r="H116" s="8"/>
      <c r="I116" s="21"/>
      <c r="J116" s="21"/>
      <c r="K116" s="8"/>
      <c r="L116" s="33"/>
      <c r="M116" s="33"/>
      <c r="N116" s="34"/>
      <c r="O116" s="33"/>
      <c r="P116" s="33"/>
      <c r="Q116" s="34"/>
      <c r="R116" s="33"/>
      <c r="S116" s="33"/>
      <c r="T116" s="34"/>
      <c r="U116" s="33"/>
      <c r="V116" s="33"/>
      <c r="W116" s="133"/>
      <c r="X116" s="49"/>
      <c r="Y116" s="135"/>
      <c r="Z116" s="135"/>
      <c r="AA116" s="135"/>
      <c r="AB116" s="135"/>
      <c r="AC116" s="135"/>
      <c r="AD116" s="135"/>
      <c r="AE116" s="135"/>
      <c r="AF116" s="49"/>
      <c r="AG116" s="49"/>
      <c r="AH116" s="49"/>
    </row>
    <row r="117" spans="2:35" s="4" customFormat="1" ht="140.25" x14ac:dyDescent="0.25">
      <c r="B117" s="22" t="s">
        <v>321</v>
      </c>
      <c r="C117" s="22"/>
      <c r="D117" s="22" t="s">
        <v>322</v>
      </c>
      <c r="E117" s="22"/>
      <c r="F117" s="22"/>
      <c r="G117" s="22"/>
      <c r="H117" s="22"/>
      <c r="I117" s="22"/>
      <c r="J117" s="22"/>
      <c r="K117" s="22"/>
      <c r="L117" s="35"/>
      <c r="M117" s="35"/>
      <c r="N117" s="35"/>
      <c r="O117" s="35"/>
      <c r="P117" s="35"/>
      <c r="Q117" s="35"/>
      <c r="R117" s="35"/>
      <c r="S117" s="35"/>
      <c r="T117" s="35"/>
      <c r="U117" s="35"/>
      <c r="V117" s="35"/>
      <c r="W117" s="130"/>
      <c r="X117" s="49"/>
      <c r="Y117" s="135"/>
      <c r="Z117" s="135"/>
      <c r="AA117" s="135"/>
      <c r="AB117" s="135"/>
      <c r="AC117" s="135"/>
      <c r="AD117" s="135"/>
      <c r="AE117" s="135"/>
      <c r="AF117" s="49"/>
      <c r="AG117" s="49"/>
      <c r="AH117" s="49"/>
    </row>
    <row r="118" spans="2:35" s="4" customFormat="1" ht="114.75" x14ac:dyDescent="0.25">
      <c r="B118" s="13" t="s">
        <v>323</v>
      </c>
      <c r="C118" s="13" t="s">
        <v>933</v>
      </c>
      <c r="D118" s="13" t="s">
        <v>653</v>
      </c>
      <c r="E118" s="13" t="s">
        <v>503</v>
      </c>
      <c r="F118" s="13" t="s">
        <v>595</v>
      </c>
      <c r="G118" s="13" t="s">
        <v>504</v>
      </c>
      <c r="H118" s="13" t="s">
        <v>932</v>
      </c>
      <c r="I118" s="13" t="s">
        <v>506</v>
      </c>
      <c r="J118" s="13" t="s">
        <v>458</v>
      </c>
      <c r="K118" s="13" t="s">
        <v>47</v>
      </c>
      <c r="L118" s="42" t="s">
        <v>935</v>
      </c>
      <c r="M118" s="42" t="s">
        <v>835</v>
      </c>
      <c r="N118" s="31">
        <v>9</v>
      </c>
      <c r="O118" s="31"/>
      <c r="P118" s="31"/>
      <c r="Q118" s="31"/>
      <c r="R118" s="31"/>
      <c r="S118" s="31"/>
      <c r="T118" s="31"/>
      <c r="U118" s="31"/>
      <c r="V118" s="31"/>
      <c r="W118" s="42"/>
      <c r="X118" s="49"/>
      <c r="Y118" s="135"/>
      <c r="Z118" s="135"/>
      <c r="AA118" s="135"/>
      <c r="AB118" s="135"/>
      <c r="AC118" s="135"/>
      <c r="AD118" s="135"/>
      <c r="AE118" s="135"/>
      <c r="AF118" s="49"/>
      <c r="AG118" s="49"/>
      <c r="AH118" s="49"/>
    </row>
    <row r="119" spans="2:35" s="4" customFormat="1" ht="60" customHeight="1" x14ac:dyDescent="0.25">
      <c r="B119" s="8" t="s">
        <v>325</v>
      </c>
      <c r="C119" s="21"/>
      <c r="D119" s="21" t="s">
        <v>326</v>
      </c>
      <c r="E119" s="8"/>
      <c r="F119" s="8"/>
      <c r="G119" s="21"/>
      <c r="H119" s="21"/>
      <c r="I119" s="8"/>
      <c r="J119" s="8"/>
      <c r="K119" s="21"/>
      <c r="L119" s="33"/>
      <c r="M119" s="34"/>
      <c r="N119" s="34"/>
      <c r="O119" s="33"/>
      <c r="P119" s="33"/>
      <c r="Q119" s="34"/>
      <c r="R119" s="34"/>
      <c r="S119" s="33"/>
      <c r="T119" s="33"/>
      <c r="U119" s="34"/>
      <c r="V119" s="34"/>
      <c r="W119" s="139"/>
      <c r="X119" s="49"/>
      <c r="Y119" s="135"/>
      <c r="Z119" s="135"/>
      <c r="AA119" s="135"/>
      <c r="AB119" s="135"/>
      <c r="AC119" s="135"/>
      <c r="AD119" s="135"/>
      <c r="AE119" s="135"/>
      <c r="AF119" s="49"/>
      <c r="AG119" s="49"/>
      <c r="AH119" s="49"/>
    </row>
    <row r="120" spans="2:35" s="4" customFormat="1" ht="51" x14ac:dyDescent="0.25">
      <c r="B120" s="22" t="s">
        <v>327</v>
      </c>
      <c r="C120" s="22"/>
      <c r="D120" s="22" t="s">
        <v>328</v>
      </c>
      <c r="E120" s="22"/>
      <c r="F120" s="22"/>
      <c r="G120" s="22"/>
      <c r="H120" s="22"/>
      <c r="I120" s="22"/>
      <c r="J120" s="22"/>
      <c r="K120" s="22"/>
      <c r="L120" s="35"/>
      <c r="M120" s="35"/>
      <c r="N120" s="35"/>
      <c r="O120" s="35"/>
      <c r="P120" s="35"/>
      <c r="Q120" s="35"/>
      <c r="R120" s="35"/>
      <c r="S120" s="35"/>
      <c r="T120" s="35"/>
      <c r="U120" s="35"/>
      <c r="V120" s="35"/>
      <c r="W120" s="130"/>
      <c r="X120" s="49"/>
      <c r="Y120" s="135"/>
      <c r="Z120" s="135"/>
      <c r="AA120" s="135"/>
      <c r="AB120" s="135"/>
      <c r="AC120" s="135"/>
      <c r="AD120" s="135"/>
      <c r="AE120" s="135"/>
      <c r="AF120" s="49"/>
      <c r="AG120" s="49"/>
      <c r="AH120" s="49"/>
    </row>
    <row r="121" spans="2:35" s="4" customFormat="1" ht="109.5" customHeight="1" x14ac:dyDescent="0.25">
      <c r="B121" s="29" t="s">
        <v>1085</v>
      </c>
      <c r="C121" s="147"/>
      <c r="D121" s="29" t="s">
        <v>1099</v>
      </c>
      <c r="E121" s="29"/>
      <c r="F121" s="29"/>
      <c r="G121" s="29"/>
      <c r="H121" s="29"/>
      <c r="I121" s="29"/>
      <c r="J121" s="29"/>
      <c r="K121" s="29"/>
      <c r="L121" s="21"/>
      <c r="M121" s="21"/>
      <c r="N121" s="8"/>
      <c r="O121" s="21"/>
      <c r="P121" s="21"/>
      <c r="Q121" s="8"/>
      <c r="R121" s="21"/>
      <c r="S121" s="21"/>
      <c r="T121" s="8"/>
      <c r="U121" s="21"/>
      <c r="V121" s="21"/>
      <c r="W121" s="8"/>
      <c r="X121" s="49"/>
      <c r="Y121" s="135"/>
      <c r="Z121" s="135"/>
      <c r="AA121" s="135"/>
      <c r="AB121" s="135"/>
      <c r="AC121" s="135"/>
      <c r="AD121" s="135"/>
      <c r="AE121" s="135"/>
      <c r="AF121" s="49"/>
      <c r="AG121" s="49"/>
      <c r="AH121" s="49"/>
    </row>
    <row r="122" spans="2:35" s="4" customFormat="1" ht="37.5" customHeight="1" x14ac:dyDescent="0.25">
      <c r="B122" s="60" t="s">
        <v>1086</v>
      </c>
      <c r="C122" s="144"/>
      <c r="D122" s="60" t="s">
        <v>1092</v>
      </c>
      <c r="E122" s="60"/>
      <c r="F122" s="60"/>
      <c r="G122" s="60"/>
      <c r="H122" s="60"/>
      <c r="I122" s="60"/>
      <c r="J122" s="60"/>
      <c r="K122" s="60"/>
      <c r="L122" s="35"/>
      <c r="M122" s="35"/>
      <c r="N122" s="35"/>
      <c r="O122" s="35"/>
      <c r="P122" s="35"/>
      <c r="Q122" s="35"/>
      <c r="R122" s="35"/>
      <c r="S122" s="35"/>
      <c r="T122" s="35"/>
      <c r="U122" s="35"/>
      <c r="V122" s="35"/>
      <c r="W122" s="130"/>
      <c r="X122" s="49"/>
      <c r="Y122" s="135"/>
      <c r="Z122" s="135"/>
      <c r="AA122" s="135"/>
      <c r="AB122" s="135"/>
      <c r="AC122" s="135"/>
      <c r="AD122" s="135"/>
      <c r="AE122" s="135"/>
      <c r="AF122" s="49"/>
      <c r="AG122" s="49"/>
      <c r="AH122" s="49"/>
    </row>
    <row r="123" spans="2:35" s="4" customFormat="1" ht="93" customHeight="1" x14ac:dyDescent="0.25">
      <c r="B123" s="51" t="s">
        <v>1087</v>
      </c>
      <c r="C123" s="51" t="s">
        <v>1091</v>
      </c>
      <c r="D123" s="51" t="s">
        <v>1100</v>
      </c>
      <c r="E123" s="51" t="s">
        <v>1088</v>
      </c>
      <c r="F123" s="94" t="s">
        <v>47</v>
      </c>
      <c r="G123" s="51" t="s">
        <v>543</v>
      </c>
      <c r="H123" s="94" t="s">
        <v>47</v>
      </c>
      <c r="I123" s="94" t="s">
        <v>1089</v>
      </c>
      <c r="J123" s="94" t="s">
        <v>1090</v>
      </c>
      <c r="K123" s="94" t="s">
        <v>47</v>
      </c>
      <c r="L123" s="86" t="s">
        <v>1093</v>
      </c>
      <c r="M123" s="86" t="s">
        <v>1094</v>
      </c>
      <c r="N123" s="86">
        <v>200</v>
      </c>
      <c r="O123" s="38"/>
      <c r="P123" s="38"/>
      <c r="Q123" s="38"/>
      <c r="R123" s="38"/>
      <c r="S123" s="38"/>
      <c r="T123" s="38"/>
      <c r="U123" s="38"/>
      <c r="V123" s="38"/>
      <c r="W123" s="86"/>
      <c r="X123" s="49"/>
      <c r="Y123" s="135"/>
      <c r="Z123" s="135"/>
      <c r="AA123" s="135"/>
      <c r="AB123" s="135"/>
      <c r="AC123" s="135"/>
      <c r="AD123" s="135"/>
      <c r="AE123" s="135"/>
      <c r="AF123" s="49"/>
      <c r="AG123" s="49"/>
      <c r="AH123" s="49"/>
    </row>
    <row r="124" spans="2:35" s="4" customFormat="1" ht="38.25" x14ac:dyDescent="0.25">
      <c r="B124" s="50" t="s">
        <v>948</v>
      </c>
      <c r="C124" s="50"/>
      <c r="D124" s="53" t="s">
        <v>947</v>
      </c>
      <c r="E124" s="50"/>
      <c r="F124" s="50"/>
      <c r="G124" s="50"/>
      <c r="H124" s="50"/>
      <c r="I124" s="50"/>
      <c r="J124" s="50"/>
      <c r="K124" s="50"/>
      <c r="L124" s="56"/>
      <c r="M124" s="56"/>
      <c r="N124" s="56"/>
      <c r="O124" s="56"/>
      <c r="P124" s="56"/>
      <c r="Q124" s="56"/>
      <c r="R124" s="56"/>
      <c r="S124" s="56"/>
      <c r="T124" s="56"/>
      <c r="U124" s="56"/>
      <c r="V124" s="56"/>
      <c r="W124" s="131"/>
      <c r="X124" s="49"/>
      <c r="Y124" s="135"/>
      <c r="Z124" s="135"/>
      <c r="AA124" s="135"/>
      <c r="AB124" s="135"/>
      <c r="AC124" s="135"/>
      <c r="AD124" s="135"/>
      <c r="AE124" s="135"/>
      <c r="AF124" s="49"/>
      <c r="AG124" s="49"/>
      <c r="AH124" s="49"/>
    </row>
    <row r="125" spans="2:35" s="4" customFormat="1" ht="51" x14ac:dyDescent="0.25">
      <c r="B125" s="25" t="s">
        <v>654</v>
      </c>
      <c r="C125" s="30"/>
      <c r="D125" s="25" t="s">
        <v>330</v>
      </c>
      <c r="E125" s="25"/>
      <c r="F125" s="25"/>
      <c r="G125" s="25"/>
      <c r="H125" s="30"/>
      <c r="I125" s="25"/>
      <c r="J125" s="25"/>
      <c r="K125" s="25"/>
      <c r="L125" s="36"/>
      <c r="M125" s="37"/>
      <c r="N125" s="36"/>
      <c r="O125" s="36"/>
      <c r="P125" s="36"/>
      <c r="Q125" s="36"/>
      <c r="R125" s="37"/>
      <c r="S125" s="36"/>
      <c r="T125" s="36"/>
      <c r="U125" s="36"/>
      <c r="V125" s="36"/>
      <c r="W125" s="140"/>
      <c r="X125" s="49"/>
      <c r="Y125" s="135"/>
      <c r="Z125" s="135"/>
      <c r="AA125" s="135"/>
      <c r="AB125" s="135"/>
      <c r="AC125" s="135"/>
      <c r="AD125" s="135"/>
      <c r="AE125" s="135"/>
      <c r="AF125" s="49"/>
      <c r="AG125" s="49"/>
      <c r="AH125" s="49"/>
    </row>
    <row r="126" spans="2:35" s="4" customFormat="1" ht="63.75" x14ac:dyDescent="0.25">
      <c r="B126" s="8" t="s">
        <v>331</v>
      </c>
      <c r="C126" s="21"/>
      <c r="D126" s="21" t="s">
        <v>332</v>
      </c>
      <c r="E126" s="8"/>
      <c r="F126" s="8"/>
      <c r="G126" s="21"/>
      <c r="H126" s="21"/>
      <c r="I126" s="8"/>
      <c r="J126" s="8"/>
      <c r="K126" s="21"/>
      <c r="L126" s="33"/>
      <c r="M126" s="34"/>
      <c r="N126" s="34"/>
      <c r="O126" s="33"/>
      <c r="P126" s="33"/>
      <c r="Q126" s="34"/>
      <c r="R126" s="34"/>
      <c r="S126" s="33"/>
      <c r="T126" s="33"/>
      <c r="U126" s="34"/>
      <c r="V126" s="34"/>
      <c r="W126" s="139"/>
      <c r="X126" s="49"/>
      <c r="Y126" s="135"/>
      <c r="Z126" s="135"/>
      <c r="AA126" s="135"/>
      <c r="AB126" s="135"/>
      <c r="AC126" s="135"/>
      <c r="AD126" s="135"/>
      <c r="AE126" s="135"/>
      <c r="AF126" s="49"/>
      <c r="AG126" s="49"/>
      <c r="AH126" s="49"/>
    </row>
    <row r="127" spans="2:35" s="4" customFormat="1" ht="76.5" x14ac:dyDescent="0.25">
      <c r="B127" s="22" t="s">
        <v>655</v>
      </c>
      <c r="C127" s="22"/>
      <c r="D127" s="22" t="s">
        <v>334</v>
      </c>
      <c r="E127" s="22"/>
      <c r="F127" s="22"/>
      <c r="G127" s="22"/>
      <c r="H127" s="22"/>
      <c r="I127" s="22"/>
      <c r="J127" s="22"/>
      <c r="K127" s="22"/>
      <c r="L127" s="35"/>
      <c r="M127" s="35"/>
      <c r="N127" s="35"/>
      <c r="O127" s="35"/>
      <c r="P127" s="35"/>
      <c r="Q127" s="35"/>
      <c r="R127" s="35"/>
      <c r="S127" s="35"/>
      <c r="T127" s="35"/>
      <c r="U127" s="35"/>
      <c r="V127" s="35"/>
      <c r="W127" s="130"/>
      <c r="X127" s="49"/>
      <c r="Y127" s="135"/>
      <c r="Z127" s="135"/>
      <c r="AA127" s="135"/>
      <c r="AB127" s="135"/>
      <c r="AC127" s="135"/>
      <c r="AD127" s="135"/>
      <c r="AE127" s="135"/>
      <c r="AF127" s="49"/>
      <c r="AG127" s="49"/>
      <c r="AH127" s="49"/>
    </row>
    <row r="128" spans="2:35" s="4" customFormat="1" ht="18" customHeight="1" x14ac:dyDescent="0.25">
      <c r="B128" s="159"/>
      <c r="C128" s="169"/>
      <c r="D128" s="169"/>
      <c r="E128" s="169"/>
      <c r="F128" s="169"/>
      <c r="G128" s="169"/>
      <c r="H128" s="169"/>
      <c r="I128" s="169"/>
      <c r="J128" s="169"/>
      <c r="K128" s="169"/>
      <c r="L128" s="42"/>
      <c r="M128" s="160"/>
      <c r="N128" s="86"/>
      <c r="O128" s="86"/>
      <c r="P128" s="160"/>
      <c r="Q128" s="86"/>
      <c r="R128" s="42"/>
      <c r="S128" s="160"/>
      <c r="T128" s="42"/>
      <c r="U128" s="42"/>
      <c r="V128" s="160"/>
      <c r="W128" s="42"/>
      <c r="X128" s="49"/>
      <c r="Y128" s="135"/>
      <c r="Z128" s="135"/>
      <c r="AA128" s="135"/>
      <c r="AB128" s="135"/>
      <c r="AC128" s="135"/>
      <c r="AD128" s="135"/>
      <c r="AE128" s="135"/>
      <c r="AF128" s="49"/>
      <c r="AG128" s="49"/>
      <c r="AH128" s="49"/>
    </row>
    <row r="129" spans="2:34" s="4" customFormat="1" ht="117" customHeight="1" x14ac:dyDescent="0.25">
      <c r="B129" s="24" t="s">
        <v>335</v>
      </c>
      <c r="C129" s="24" t="s">
        <v>659</v>
      </c>
      <c r="D129" s="24" t="s">
        <v>336</v>
      </c>
      <c r="E129" s="24" t="s">
        <v>507</v>
      </c>
      <c r="F129" s="24" t="s">
        <v>656</v>
      </c>
      <c r="G129" s="24" t="s">
        <v>541</v>
      </c>
      <c r="H129" s="24" t="s">
        <v>658</v>
      </c>
      <c r="I129" s="24" t="s">
        <v>457</v>
      </c>
      <c r="J129" s="24" t="s">
        <v>458</v>
      </c>
      <c r="K129" s="24"/>
      <c r="L129" s="38" t="s">
        <v>836</v>
      </c>
      <c r="M129" s="38" t="s">
        <v>837</v>
      </c>
      <c r="N129" s="38">
        <v>1</v>
      </c>
      <c r="O129" s="38" t="s">
        <v>838</v>
      </c>
      <c r="P129" s="38" t="s">
        <v>839</v>
      </c>
      <c r="Q129" s="38">
        <v>4</v>
      </c>
      <c r="R129" s="38" t="s">
        <v>840</v>
      </c>
      <c r="S129" s="38" t="s">
        <v>841</v>
      </c>
      <c r="T129" s="38">
        <v>190</v>
      </c>
      <c r="U129" s="31"/>
      <c r="V129" s="31"/>
      <c r="W129" s="42"/>
      <c r="X129" s="49"/>
      <c r="Y129" s="135"/>
      <c r="Z129" s="135"/>
      <c r="AA129" s="135"/>
      <c r="AB129" s="135"/>
      <c r="AC129" s="135"/>
      <c r="AD129" s="135"/>
      <c r="AE129" s="135"/>
      <c r="AF129" s="49"/>
      <c r="AG129" s="49"/>
      <c r="AH129" s="49"/>
    </row>
    <row r="130" spans="2:34" s="4" customFormat="1" ht="38.25" x14ac:dyDescent="0.25">
      <c r="B130" s="22" t="s">
        <v>337</v>
      </c>
      <c r="C130" s="22"/>
      <c r="D130" s="22" t="s">
        <v>338</v>
      </c>
      <c r="E130" s="22"/>
      <c r="F130" s="22"/>
      <c r="G130" s="22"/>
      <c r="H130" s="22"/>
      <c r="I130" s="22"/>
      <c r="J130" s="22"/>
      <c r="K130" s="22"/>
      <c r="L130" s="35"/>
      <c r="M130" s="35"/>
      <c r="N130" s="35"/>
      <c r="O130" s="35"/>
      <c r="P130" s="35"/>
      <c r="Q130" s="35"/>
      <c r="R130" s="35"/>
      <c r="S130" s="35"/>
      <c r="T130" s="35"/>
      <c r="U130" s="35"/>
      <c r="V130" s="35"/>
      <c r="W130" s="130"/>
      <c r="X130" s="49"/>
      <c r="Y130" s="135"/>
      <c r="Z130" s="135"/>
      <c r="AA130" s="135"/>
      <c r="AB130" s="135"/>
      <c r="AC130" s="135"/>
      <c r="AD130" s="135"/>
      <c r="AE130" s="135"/>
      <c r="AF130" s="49"/>
      <c r="AG130" s="49"/>
      <c r="AH130" s="49"/>
    </row>
    <row r="131" spans="2:34" s="4" customFormat="1" ht="97.5" customHeight="1" x14ac:dyDescent="0.25">
      <c r="B131" s="24" t="s">
        <v>339</v>
      </c>
      <c r="C131" s="24" t="s">
        <v>663</v>
      </c>
      <c r="D131" s="24" t="s">
        <v>660</v>
      </c>
      <c r="E131" s="24" t="s">
        <v>453</v>
      </c>
      <c r="F131" s="24" t="s">
        <v>656</v>
      </c>
      <c r="G131" s="24" t="s">
        <v>460</v>
      </c>
      <c r="H131" s="24" t="s">
        <v>661</v>
      </c>
      <c r="I131" s="24" t="s">
        <v>457</v>
      </c>
      <c r="J131" s="24" t="s">
        <v>458</v>
      </c>
      <c r="K131" s="24" t="s">
        <v>47</v>
      </c>
      <c r="L131" s="38" t="s">
        <v>842</v>
      </c>
      <c r="M131" s="38" t="s">
        <v>843</v>
      </c>
      <c r="N131" s="38">
        <v>1</v>
      </c>
      <c r="O131" s="38" t="s">
        <v>840</v>
      </c>
      <c r="P131" s="38" t="s">
        <v>841</v>
      </c>
      <c r="Q131" s="38">
        <v>470</v>
      </c>
      <c r="R131" s="31"/>
      <c r="S131" s="31"/>
      <c r="T131" s="31"/>
      <c r="U131" s="31"/>
      <c r="V131" s="31"/>
      <c r="W131" s="42"/>
      <c r="X131" s="49"/>
      <c r="Y131" s="135"/>
      <c r="Z131" s="135"/>
      <c r="AA131" s="135"/>
      <c r="AB131" s="135"/>
      <c r="AC131" s="135"/>
      <c r="AD131" s="135"/>
      <c r="AE131" s="135"/>
      <c r="AF131" s="49"/>
      <c r="AG131" s="49"/>
      <c r="AH131" s="49"/>
    </row>
    <row r="132" spans="2:34" s="4" customFormat="1" ht="87" customHeight="1" x14ac:dyDescent="0.25">
      <c r="B132" s="24" t="s">
        <v>341</v>
      </c>
      <c r="C132" s="13" t="s">
        <v>664</v>
      </c>
      <c r="D132" s="13" t="s">
        <v>342</v>
      </c>
      <c r="E132" s="13" t="s">
        <v>468</v>
      </c>
      <c r="F132" s="13" t="s">
        <v>656</v>
      </c>
      <c r="G132" s="13" t="s">
        <v>662</v>
      </c>
      <c r="H132" s="13" t="s">
        <v>661</v>
      </c>
      <c r="I132" s="13" t="s">
        <v>457</v>
      </c>
      <c r="J132" s="13"/>
      <c r="K132" s="13"/>
      <c r="L132" s="31" t="s">
        <v>842</v>
      </c>
      <c r="M132" s="31" t="s">
        <v>843</v>
      </c>
      <c r="N132" s="38">
        <v>1</v>
      </c>
      <c r="O132" s="31" t="s">
        <v>840</v>
      </c>
      <c r="P132" s="31" t="s">
        <v>841</v>
      </c>
      <c r="Q132" s="42">
        <v>447</v>
      </c>
      <c r="R132" s="31"/>
      <c r="S132" s="31"/>
      <c r="T132" s="31"/>
      <c r="U132" s="31"/>
      <c r="V132" s="31"/>
      <c r="W132" s="42"/>
      <c r="X132" s="49"/>
      <c r="Y132" s="135"/>
      <c r="Z132" s="135"/>
      <c r="AA132" s="135"/>
      <c r="AB132" s="135"/>
      <c r="AC132" s="135"/>
      <c r="AD132" s="135"/>
      <c r="AE132" s="135"/>
      <c r="AF132" s="49"/>
      <c r="AG132" s="49"/>
      <c r="AH132" s="49"/>
    </row>
    <row r="133" spans="2:34" s="4" customFormat="1" ht="77.25" customHeight="1" x14ac:dyDescent="0.25">
      <c r="B133" s="24" t="s">
        <v>343</v>
      </c>
      <c r="C133" s="13" t="s">
        <v>665</v>
      </c>
      <c r="D133" s="13" t="s">
        <v>344</v>
      </c>
      <c r="E133" s="13" t="s">
        <v>500</v>
      </c>
      <c r="F133" s="13" t="s">
        <v>656</v>
      </c>
      <c r="G133" s="13" t="s">
        <v>531</v>
      </c>
      <c r="H133" s="13" t="s">
        <v>661</v>
      </c>
      <c r="I133" s="13" t="s">
        <v>457</v>
      </c>
      <c r="J133" s="13"/>
      <c r="K133" s="13"/>
      <c r="L133" s="31" t="s">
        <v>842</v>
      </c>
      <c r="M133" s="31" t="s">
        <v>843</v>
      </c>
      <c r="N133" s="38">
        <v>1</v>
      </c>
      <c r="O133" s="31" t="s">
        <v>840</v>
      </c>
      <c r="P133" s="31" t="s">
        <v>841</v>
      </c>
      <c r="Q133" s="42">
        <v>500</v>
      </c>
      <c r="R133" s="31"/>
      <c r="S133" s="31"/>
      <c r="T133" s="31"/>
      <c r="U133" s="31"/>
      <c r="V133" s="31"/>
      <c r="W133" s="42"/>
      <c r="X133" s="49"/>
      <c r="Y133" s="135"/>
      <c r="Z133" s="135"/>
      <c r="AA133" s="135"/>
      <c r="AB133" s="135"/>
      <c r="AC133" s="135"/>
      <c r="AD133" s="135"/>
      <c r="AE133" s="135"/>
      <c r="AF133" s="49"/>
      <c r="AG133" s="49"/>
      <c r="AH133" s="49"/>
    </row>
    <row r="134" spans="2:34" s="4" customFormat="1" ht="63" customHeight="1" x14ac:dyDescent="0.25">
      <c r="B134" s="8" t="s">
        <v>345</v>
      </c>
      <c r="C134" s="21"/>
      <c r="D134" s="21" t="s">
        <v>346</v>
      </c>
      <c r="E134" s="8"/>
      <c r="F134" s="8"/>
      <c r="G134" s="8" t="s">
        <v>666</v>
      </c>
      <c r="H134" s="21"/>
      <c r="I134" s="21"/>
      <c r="J134" s="8"/>
      <c r="K134" s="8"/>
      <c r="L134" s="34"/>
      <c r="M134" s="33"/>
      <c r="N134" s="33"/>
      <c r="O134" s="34"/>
      <c r="P134" s="34"/>
      <c r="Q134" s="34"/>
      <c r="R134" s="33"/>
      <c r="S134" s="33"/>
      <c r="T134" s="34"/>
      <c r="U134" s="34"/>
      <c r="V134" s="34"/>
      <c r="W134" s="139"/>
      <c r="X134" s="49"/>
      <c r="Y134" s="135"/>
      <c r="Z134" s="135"/>
      <c r="AA134" s="135"/>
      <c r="AB134" s="135"/>
      <c r="AC134" s="135"/>
      <c r="AD134" s="135"/>
      <c r="AE134" s="135"/>
      <c r="AF134" s="49"/>
      <c r="AG134" s="49"/>
      <c r="AH134" s="49"/>
    </row>
    <row r="135" spans="2:34" s="4" customFormat="1" ht="63.75" x14ac:dyDescent="0.25">
      <c r="B135" s="22" t="s">
        <v>347</v>
      </c>
      <c r="C135" s="22"/>
      <c r="D135" s="22" t="s">
        <v>348</v>
      </c>
      <c r="E135" s="22"/>
      <c r="F135" s="22"/>
      <c r="G135" s="22"/>
      <c r="H135" s="22"/>
      <c r="I135" s="22"/>
      <c r="J135" s="22"/>
      <c r="K135" s="22"/>
      <c r="L135" s="35"/>
      <c r="M135" s="35"/>
      <c r="N135" s="35"/>
      <c r="O135" s="35"/>
      <c r="P135" s="35"/>
      <c r="Q135" s="35"/>
      <c r="R135" s="35"/>
      <c r="S135" s="35"/>
      <c r="T135" s="35"/>
      <c r="U135" s="35"/>
      <c r="V135" s="35"/>
      <c r="W135" s="130"/>
      <c r="X135" s="49"/>
      <c r="Y135" s="135"/>
      <c r="Z135" s="135"/>
      <c r="AA135" s="135"/>
      <c r="AB135" s="135"/>
      <c r="AC135" s="135"/>
      <c r="AD135" s="135"/>
      <c r="AE135" s="135"/>
      <c r="AF135" s="49"/>
      <c r="AG135" s="49"/>
      <c r="AH135" s="49"/>
    </row>
    <row r="136" spans="2:34" s="4" customFormat="1" ht="127.5" x14ac:dyDescent="0.25">
      <c r="B136" s="24" t="s">
        <v>349</v>
      </c>
      <c r="C136" s="13" t="s">
        <v>670</v>
      </c>
      <c r="D136" s="13" t="s">
        <v>667</v>
      </c>
      <c r="E136" s="13" t="s">
        <v>453</v>
      </c>
      <c r="F136" s="13" t="s">
        <v>656</v>
      </c>
      <c r="G136" s="13" t="s">
        <v>455</v>
      </c>
      <c r="H136" s="13" t="s">
        <v>668</v>
      </c>
      <c r="I136" s="13" t="s">
        <v>457</v>
      </c>
      <c r="J136" s="13" t="s">
        <v>458</v>
      </c>
      <c r="K136" s="13" t="s">
        <v>47</v>
      </c>
      <c r="L136" s="31" t="s">
        <v>844</v>
      </c>
      <c r="M136" s="31" t="s">
        <v>845</v>
      </c>
      <c r="N136" s="38">
        <v>1</v>
      </c>
      <c r="O136" s="38" t="s">
        <v>840</v>
      </c>
      <c r="P136" s="38" t="s">
        <v>841</v>
      </c>
      <c r="Q136" s="86">
        <v>355</v>
      </c>
      <c r="R136" s="31"/>
      <c r="S136" s="31"/>
      <c r="T136" s="31"/>
      <c r="U136" s="31"/>
      <c r="V136" s="31"/>
      <c r="W136" s="42"/>
      <c r="X136" s="49"/>
      <c r="Y136" s="135"/>
      <c r="Z136" s="135"/>
      <c r="AA136" s="135"/>
      <c r="AB136" s="135"/>
      <c r="AC136" s="135"/>
      <c r="AD136" s="135"/>
      <c r="AE136" s="135"/>
      <c r="AF136" s="49"/>
      <c r="AG136" s="49"/>
      <c r="AH136" s="49"/>
    </row>
    <row r="137" spans="2:34" s="4" customFormat="1" ht="76.5" customHeight="1" x14ac:dyDescent="0.25">
      <c r="B137" s="24" t="s">
        <v>351</v>
      </c>
      <c r="C137" s="13" t="s">
        <v>671</v>
      </c>
      <c r="D137" s="13" t="s">
        <v>352</v>
      </c>
      <c r="E137" s="13" t="s">
        <v>471</v>
      </c>
      <c r="F137" s="13" t="s">
        <v>669</v>
      </c>
      <c r="G137" s="13" t="s">
        <v>472</v>
      </c>
      <c r="H137" s="13" t="s">
        <v>668</v>
      </c>
      <c r="I137" s="13" t="s">
        <v>465</v>
      </c>
      <c r="J137" s="13" t="s">
        <v>466</v>
      </c>
      <c r="K137" s="13" t="s">
        <v>467</v>
      </c>
      <c r="L137" s="31" t="s">
        <v>844</v>
      </c>
      <c r="M137" s="31" t="s">
        <v>845</v>
      </c>
      <c r="N137" s="38">
        <v>1</v>
      </c>
      <c r="O137" s="38" t="s">
        <v>840</v>
      </c>
      <c r="P137" s="38" t="s">
        <v>841</v>
      </c>
      <c r="Q137" s="38">
        <v>330</v>
      </c>
      <c r="R137" s="31"/>
      <c r="S137" s="31"/>
      <c r="T137" s="31"/>
      <c r="U137" s="31"/>
      <c r="V137" s="31"/>
      <c r="W137" s="42"/>
      <c r="X137" s="49"/>
      <c r="Y137" s="135"/>
      <c r="Z137" s="135"/>
      <c r="AA137" s="135"/>
      <c r="AB137" s="135"/>
      <c r="AC137" s="135"/>
      <c r="AD137" s="135"/>
      <c r="AE137" s="135"/>
      <c r="AF137" s="49"/>
      <c r="AG137" s="49"/>
      <c r="AH137" s="49"/>
    </row>
    <row r="138" spans="2:34" s="4" customFormat="1" ht="51" x14ac:dyDescent="0.25">
      <c r="B138" s="25" t="s">
        <v>353</v>
      </c>
      <c r="C138" s="30"/>
      <c r="D138" s="25" t="s">
        <v>354</v>
      </c>
      <c r="E138" s="25"/>
      <c r="F138" s="25"/>
      <c r="G138" s="30"/>
      <c r="H138" s="25"/>
      <c r="I138" s="25"/>
      <c r="J138" s="25"/>
      <c r="K138" s="30"/>
      <c r="L138" s="36"/>
      <c r="M138" s="36"/>
      <c r="N138" s="36"/>
      <c r="O138" s="37"/>
      <c r="P138" s="36"/>
      <c r="Q138" s="36"/>
      <c r="R138" s="36"/>
      <c r="S138" s="37"/>
      <c r="T138" s="36"/>
      <c r="U138" s="36"/>
      <c r="V138" s="36"/>
      <c r="W138" s="140"/>
      <c r="X138" s="49"/>
      <c r="Y138" s="135"/>
      <c r="Z138" s="135"/>
      <c r="AA138" s="135"/>
      <c r="AB138" s="135"/>
      <c r="AC138" s="135"/>
      <c r="AD138" s="135"/>
      <c r="AE138" s="135"/>
      <c r="AF138" s="49"/>
      <c r="AG138" s="49"/>
      <c r="AH138" s="49"/>
    </row>
    <row r="139" spans="2:34" s="4" customFormat="1" ht="75.75" customHeight="1" x14ac:dyDescent="0.25">
      <c r="B139" s="8" t="s">
        <v>355</v>
      </c>
      <c r="C139" s="21"/>
      <c r="D139" s="21" t="s">
        <v>356</v>
      </c>
      <c r="E139" s="8"/>
      <c r="F139" s="8"/>
      <c r="G139" s="8"/>
      <c r="H139" s="21"/>
      <c r="I139" s="21"/>
      <c r="J139" s="8"/>
      <c r="K139" s="8"/>
      <c r="L139" s="34"/>
      <c r="M139" s="33"/>
      <c r="N139" s="33"/>
      <c r="O139" s="34"/>
      <c r="P139" s="34"/>
      <c r="Q139" s="34"/>
      <c r="R139" s="33"/>
      <c r="S139" s="33"/>
      <c r="T139" s="34"/>
      <c r="U139" s="34"/>
      <c r="V139" s="34"/>
      <c r="W139" s="139"/>
      <c r="X139" s="49"/>
      <c r="Y139" s="135"/>
      <c r="Z139" s="135"/>
      <c r="AA139" s="135"/>
      <c r="AB139" s="135"/>
      <c r="AC139" s="135"/>
      <c r="AD139" s="135"/>
      <c r="AE139" s="135"/>
      <c r="AF139" s="49"/>
      <c r="AG139" s="49"/>
      <c r="AH139" s="49"/>
    </row>
    <row r="140" spans="2:34" s="4" customFormat="1" ht="83.25" customHeight="1" x14ac:dyDescent="0.25">
      <c r="B140" s="22" t="s">
        <v>357</v>
      </c>
      <c r="C140" s="22"/>
      <c r="D140" s="22" t="s">
        <v>358</v>
      </c>
      <c r="E140" s="22"/>
      <c r="F140" s="22"/>
      <c r="G140" s="22"/>
      <c r="H140" s="22"/>
      <c r="I140" s="22"/>
      <c r="J140" s="22"/>
      <c r="K140" s="22"/>
      <c r="L140" s="35"/>
      <c r="M140" s="35"/>
      <c r="N140" s="35"/>
      <c r="O140" s="35"/>
      <c r="P140" s="35"/>
      <c r="Q140" s="35"/>
      <c r="R140" s="35"/>
      <c r="S140" s="35"/>
      <c r="T140" s="35"/>
      <c r="U140" s="35"/>
      <c r="V140" s="35"/>
      <c r="W140" s="130"/>
      <c r="X140" s="49"/>
      <c r="Y140" s="135"/>
      <c r="Z140" s="135"/>
      <c r="AA140" s="135"/>
      <c r="AB140" s="135"/>
      <c r="AC140" s="135"/>
      <c r="AD140" s="135"/>
      <c r="AE140" s="135"/>
      <c r="AF140" s="49"/>
      <c r="AG140" s="49"/>
      <c r="AH140" s="49"/>
    </row>
    <row r="141" spans="2:34" s="4" customFormat="1" ht="182.25" customHeight="1" x14ac:dyDescent="0.25">
      <c r="B141" s="24" t="s">
        <v>968</v>
      </c>
      <c r="C141" s="24" t="s">
        <v>974</v>
      </c>
      <c r="D141" s="24" t="s">
        <v>980</v>
      </c>
      <c r="E141" s="24" t="s">
        <v>981</v>
      </c>
      <c r="F141" s="24" t="s">
        <v>673</v>
      </c>
      <c r="G141" s="24" t="s">
        <v>455</v>
      </c>
      <c r="H141" s="24" t="s">
        <v>897</v>
      </c>
      <c r="I141" s="24" t="s">
        <v>457</v>
      </c>
      <c r="J141" s="24" t="s">
        <v>47</v>
      </c>
      <c r="K141" s="24" t="s">
        <v>47</v>
      </c>
      <c r="L141" s="24" t="s">
        <v>982</v>
      </c>
      <c r="M141" s="24" t="s">
        <v>983</v>
      </c>
      <c r="N141" s="24">
        <v>21285</v>
      </c>
      <c r="O141" s="24" t="s">
        <v>984</v>
      </c>
      <c r="P141" s="24" t="s">
        <v>985</v>
      </c>
      <c r="Q141" s="24">
        <v>1</v>
      </c>
      <c r="R141" s="24"/>
      <c r="S141" s="24"/>
      <c r="T141" s="24"/>
      <c r="U141" s="24"/>
      <c r="V141" s="24"/>
      <c r="W141" s="51"/>
      <c r="X141" s="49"/>
      <c r="Y141" s="135"/>
      <c r="Z141" s="135"/>
      <c r="AA141" s="135"/>
      <c r="AB141" s="135"/>
      <c r="AC141" s="135"/>
      <c r="AD141" s="135"/>
      <c r="AE141" s="135"/>
      <c r="AF141" s="49"/>
      <c r="AG141" s="49"/>
      <c r="AH141" s="49"/>
    </row>
    <row r="142" spans="2:34" s="4" customFormat="1" ht="186.75" customHeight="1" x14ac:dyDescent="0.25">
      <c r="B142" s="24" t="s">
        <v>969</v>
      </c>
      <c r="C142" s="24" t="s">
        <v>975</v>
      </c>
      <c r="D142" s="24" t="s">
        <v>986</v>
      </c>
      <c r="E142" s="24" t="s">
        <v>987</v>
      </c>
      <c r="F142" s="24" t="s">
        <v>673</v>
      </c>
      <c r="G142" s="24" t="s">
        <v>531</v>
      </c>
      <c r="H142" s="24" t="s">
        <v>897</v>
      </c>
      <c r="I142" s="24" t="s">
        <v>457</v>
      </c>
      <c r="J142" s="24" t="s">
        <v>47</v>
      </c>
      <c r="K142" s="24" t="s">
        <v>47</v>
      </c>
      <c r="L142" s="24" t="s">
        <v>982</v>
      </c>
      <c r="M142" s="24" t="s">
        <v>983</v>
      </c>
      <c r="N142" s="51">
        <v>6931</v>
      </c>
      <c r="O142" s="24" t="s">
        <v>984</v>
      </c>
      <c r="P142" s="24" t="s">
        <v>985</v>
      </c>
      <c r="Q142" s="24">
        <v>1</v>
      </c>
      <c r="R142" s="38"/>
      <c r="S142" s="38"/>
      <c r="T142" s="38"/>
      <c r="U142" s="38"/>
      <c r="V142" s="38"/>
      <c r="W142" s="86"/>
      <c r="X142" s="49"/>
      <c r="Y142" s="135"/>
      <c r="Z142" s="135"/>
      <c r="AA142" s="135"/>
      <c r="AB142" s="135"/>
      <c r="AC142" s="135"/>
      <c r="AD142" s="135"/>
      <c r="AE142" s="135"/>
      <c r="AF142" s="49"/>
      <c r="AG142" s="49"/>
      <c r="AH142" s="49"/>
    </row>
    <row r="143" spans="2:34" s="4" customFormat="1" ht="204.75" customHeight="1" x14ac:dyDescent="0.25">
      <c r="B143" s="24" t="s">
        <v>970</v>
      </c>
      <c r="C143" s="24" t="s">
        <v>976</v>
      </c>
      <c r="D143" s="51" t="s">
        <v>1005</v>
      </c>
      <c r="E143" s="24" t="s">
        <v>990</v>
      </c>
      <c r="F143" s="24" t="s">
        <v>673</v>
      </c>
      <c r="G143" s="24" t="s">
        <v>531</v>
      </c>
      <c r="H143" s="24" t="s">
        <v>897</v>
      </c>
      <c r="I143" s="24" t="s">
        <v>457</v>
      </c>
      <c r="J143" s="24" t="s">
        <v>47</v>
      </c>
      <c r="K143" s="24" t="s">
        <v>47</v>
      </c>
      <c r="L143" s="38" t="s">
        <v>982</v>
      </c>
      <c r="M143" s="38" t="s">
        <v>983</v>
      </c>
      <c r="N143" s="38">
        <v>6819</v>
      </c>
      <c r="O143" s="38" t="s">
        <v>984</v>
      </c>
      <c r="P143" s="38" t="s">
        <v>985</v>
      </c>
      <c r="Q143" s="38">
        <v>1</v>
      </c>
      <c r="R143" s="38"/>
      <c r="S143" s="38"/>
      <c r="T143" s="38"/>
      <c r="U143" s="38"/>
      <c r="V143" s="38"/>
      <c r="W143" s="86"/>
      <c r="X143" s="49"/>
      <c r="Y143" s="135"/>
      <c r="Z143" s="135"/>
      <c r="AA143" s="135"/>
      <c r="AB143" s="135"/>
      <c r="AC143" s="135"/>
      <c r="AD143" s="135"/>
      <c r="AE143" s="135"/>
      <c r="AF143" s="49"/>
      <c r="AG143" s="49"/>
      <c r="AH143" s="49"/>
    </row>
    <row r="144" spans="2:34" s="4" customFormat="1" ht="172.5" customHeight="1" x14ac:dyDescent="0.25">
      <c r="B144" s="24" t="s">
        <v>971</v>
      </c>
      <c r="C144" s="24" t="s">
        <v>977</v>
      </c>
      <c r="D144" s="24" t="s">
        <v>991</v>
      </c>
      <c r="E144" s="24" t="s">
        <v>992</v>
      </c>
      <c r="F144" s="24" t="s">
        <v>673</v>
      </c>
      <c r="G144" s="24" t="s">
        <v>586</v>
      </c>
      <c r="H144" s="24" t="s">
        <v>897</v>
      </c>
      <c r="I144" s="24" t="s">
        <v>457</v>
      </c>
      <c r="J144" s="24" t="s">
        <v>47</v>
      </c>
      <c r="K144" s="24" t="s">
        <v>47</v>
      </c>
      <c r="L144" s="38" t="s">
        <v>982</v>
      </c>
      <c r="M144" s="38" t="s">
        <v>983</v>
      </c>
      <c r="N144" s="38">
        <v>15432</v>
      </c>
      <c r="O144" s="38" t="s">
        <v>984</v>
      </c>
      <c r="P144" s="38" t="s">
        <v>985</v>
      </c>
      <c r="Q144" s="38">
        <v>1</v>
      </c>
      <c r="R144" s="38"/>
      <c r="S144" s="38"/>
      <c r="T144" s="38"/>
      <c r="U144" s="38"/>
      <c r="V144" s="38"/>
      <c r="W144" s="86"/>
      <c r="X144" s="49"/>
      <c r="Y144" s="135"/>
      <c r="Z144" s="135"/>
      <c r="AA144" s="135"/>
      <c r="AB144" s="135"/>
      <c r="AC144" s="135"/>
      <c r="AD144" s="135"/>
      <c r="AE144" s="135"/>
      <c r="AF144" s="49"/>
      <c r="AG144" s="49"/>
      <c r="AH144" s="49"/>
    </row>
    <row r="145" spans="2:34" s="4" customFormat="1" ht="95.25" customHeight="1" x14ac:dyDescent="0.25">
      <c r="B145" s="24" t="s">
        <v>972</v>
      </c>
      <c r="C145" s="24" t="s">
        <v>978</v>
      </c>
      <c r="D145" s="24" t="s">
        <v>993</v>
      </c>
      <c r="E145" s="24" t="s">
        <v>677</v>
      </c>
      <c r="F145" s="24" t="s">
        <v>673</v>
      </c>
      <c r="G145" s="24" t="s">
        <v>508</v>
      </c>
      <c r="H145" s="24" t="s">
        <v>897</v>
      </c>
      <c r="I145" s="24" t="s">
        <v>457</v>
      </c>
      <c r="J145" s="24" t="s">
        <v>47</v>
      </c>
      <c r="K145" s="24" t="s">
        <v>47</v>
      </c>
      <c r="L145" s="38" t="s">
        <v>982</v>
      </c>
      <c r="M145" s="38" t="s">
        <v>983</v>
      </c>
      <c r="N145" s="38">
        <v>19722</v>
      </c>
      <c r="O145" s="38" t="s">
        <v>984</v>
      </c>
      <c r="P145" s="38" t="s">
        <v>985</v>
      </c>
      <c r="Q145" s="38">
        <v>1</v>
      </c>
      <c r="R145" s="38"/>
      <c r="S145" s="38"/>
      <c r="T145" s="38"/>
      <c r="U145" s="38"/>
      <c r="V145" s="38"/>
      <c r="W145" s="86"/>
      <c r="X145" s="49"/>
      <c r="Y145" s="135"/>
      <c r="Z145" s="135"/>
      <c r="AA145" s="135"/>
      <c r="AB145" s="135"/>
      <c r="AC145" s="135"/>
      <c r="AD145" s="135"/>
      <c r="AE145" s="135"/>
      <c r="AF145" s="49"/>
      <c r="AG145" s="49"/>
      <c r="AH145" s="49"/>
    </row>
    <row r="146" spans="2:34" s="4" customFormat="1" ht="95.25" customHeight="1" x14ac:dyDescent="0.25">
      <c r="B146" s="24" t="s">
        <v>973</v>
      </c>
      <c r="C146" s="24" t="s">
        <v>979</v>
      </c>
      <c r="D146" s="24" t="s">
        <v>996</v>
      </c>
      <c r="E146" s="24" t="s">
        <v>997</v>
      </c>
      <c r="F146" s="24" t="s">
        <v>673</v>
      </c>
      <c r="G146" s="24" t="s">
        <v>508</v>
      </c>
      <c r="H146" s="24" t="s">
        <v>897</v>
      </c>
      <c r="I146" s="24" t="s">
        <v>457</v>
      </c>
      <c r="J146" s="24" t="s">
        <v>47</v>
      </c>
      <c r="K146" s="24" t="s">
        <v>47</v>
      </c>
      <c r="L146" s="38" t="s">
        <v>982</v>
      </c>
      <c r="M146" s="38" t="s">
        <v>983</v>
      </c>
      <c r="N146" s="38">
        <v>1455</v>
      </c>
      <c r="O146" s="38" t="s">
        <v>984</v>
      </c>
      <c r="P146" s="38" t="s">
        <v>985</v>
      </c>
      <c r="Q146" s="38">
        <v>1</v>
      </c>
      <c r="R146" s="38"/>
      <c r="S146" s="38"/>
      <c r="T146" s="38"/>
      <c r="U146" s="38"/>
      <c r="V146" s="38"/>
      <c r="W146" s="86"/>
      <c r="X146" s="49"/>
      <c r="Y146" s="135"/>
      <c r="Z146" s="135"/>
      <c r="AA146" s="135"/>
      <c r="AB146" s="135"/>
      <c r="AC146" s="135"/>
      <c r="AD146" s="135"/>
      <c r="AE146" s="135"/>
      <c r="AF146" s="49"/>
      <c r="AG146" s="49"/>
      <c r="AH146" s="49"/>
    </row>
    <row r="147" spans="2:34" s="4" customFormat="1" ht="179.25" customHeight="1" x14ac:dyDescent="0.25">
      <c r="B147" s="24" t="s">
        <v>994</v>
      </c>
      <c r="C147" s="24" t="s">
        <v>999</v>
      </c>
      <c r="D147" s="24" t="s">
        <v>998</v>
      </c>
      <c r="E147" s="24" t="s">
        <v>1000</v>
      </c>
      <c r="F147" s="24" t="s">
        <v>673</v>
      </c>
      <c r="G147" s="24" t="s">
        <v>696</v>
      </c>
      <c r="H147" s="24" t="s">
        <v>897</v>
      </c>
      <c r="I147" s="24" t="s">
        <v>457</v>
      </c>
      <c r="J147" s="24" t="s">
        <v>47</v>
      </c>
      <c r="K147" s="24" t="s">
        <v>47</v>
      </c>
      <c r="L147" s="38" t="s">
        <v>982</v>
      </c>
      <c r="M147" s="38" t="s">
        <v>983</v>
      </c>
      <c r="N147" s="86">
        <v>13690</v>
      </c>
      <c r="O147" s="38" t="s">
        <v>984</v>
      </c>
      <c r="P147" s="38" t="s">
        <v>985</v>
      </c>
      <c r="Q147" s="38">
        <v>1</v>
      </c>
      <c r="R147" s="38"/>
      <c r="S147" s="38"/>
      <c r="T147" s="38"/>
      <c r="U147" s="38"/>
      <c r="V147" s="38"/>
      <c r="W147" s="86"/>
      <c r="X147" s="49"/>
      <c r="Y147" s="135"/>
      <c r="Z147" s="135"/>
      <c r="AA147" s="135"/>
      <c r="AB147" s="135"/>
      <c r="AC147" s="135"/>
      <c r="AD147" s="135"/>
      <c r="AE147" s="135"/>
      <c r="AF147" s="49"/>
      <c r="AG147" s="49"/>
      <c r="AH147" s="49"/>
    </row>
    <row r="148" spans="2:34" s="4" customFormat="1" ht="187.5" customHeight="1" x14ac:dyDescent="0.25">
      <c r="B148" s="24" t="s">
        <v>995</v>
      </c>
      <c r="C148" s="24" t="s">
        <v>1002</v>
      </c>
      <c r="D148" s="24" t="s">
        <v>1004</v>
      </c>
      <c r="E148" s="24" t="s">
        <v>678</v>
      </c>
      <c r="F148" s="24" t="s">
        <v>673</v>
      </c>
      <c r="G148" s="24" t="s">
        <v>1003</v>
      </c>
      <c r="H148" s="24" t="s">
        <v>897</v>
      </c>
      <c r="I148" s="24" t="s">
        <v>457</v>
      </c>
      <c r="J148" s="24" t="s">
        <v>47</v>
      </c>
      <c r="K148" s="24" t="s">
        <v>47</v>
      </c>
      <c r="L148" s="38" t="s">
        <v>982</v>
      </c>
      <c r="M148" s="38" t="s">
        <v>983</v>
      </c>
      <c r="N148" s="86">
        <v>3536</v>
      </c>
      <c r="O148" s="38" t="s">
        <v>984</v>
      </c>
      <c r="P148" s="38" t="s">
        <v>985</v>
      </c>
      <c r="Q148" s="38">
        <v>1</v>
      </c>
      <c r="R148" s="38"/>
      <c r="S148" s="38"/>
      <c r="T148" s="38"/>
      <c r="U148" s="38"/>
      <c r="V148" s="38"/>
      <c r="W148" s="86"/>
      <c r="X148" s="49"/>
      <c r="Y148" s="135"/>
      <c r="Z148" s="135"/>
      <c r="AA148" s="135"/>
      <c r="AB148" s="135"/>
      <c r="AC148" s="135"/>
      <c r="AD148" s="135"/>
      <c r="AE148" s="135"/>
      <c r="AF148" s="49"/>
      <c r="AG148" s="49"/>
      <c r="AH148" s="49"/>
    </row>
    <row r="149" spans="2:34" s="4" customFormat="1" ht="149.25" customHeight="1" x14ac:dyDescent="0.25">
      <c r="B149" s="22" t="s">
        <v>359</v>
      </c>
      <c r="C149" s="22"/>
      <c r="D149" s="22" t="s">
        <v>360</v>
      </c>
      <c r="E149" s="22"/>
      <c r="F149" s="22"/>
      <c r="G149" s="22"/>
      <c r="H149" s="22"/>
      <c r="I149" s="22"/>
      <c r="J149" s="22"/>
      <c r="K149" s="22"/>
      <c r="L149" s="35"/>
      <c r="M149" s="35"/>
      <c r="N149" s="35"/>
      <c r="O149" s="35"/>
      <c r="P149" s="35"/>
      <c r="Q149" s="35"/>
      <c r="R149" s="35"/>
      <c r="S149" s="35"/>
      <c r="T149" s="35"/>
      <c r="U149" s="35"/>
      <c r="V149" s="35"/>
      <c r="W149" s="130"/>
      <c r="X149" s="49"/>
      <c r="Y149" s="135"/>
      <c r="Z149" s="135"/>
      <c r="AA149" s="135"/>
      <c r="AB149" s="135"/>
      <c r="AC149" s="135"/>
      <c r="AD149" s="135"/>
      <c r="AE149" s="135"/>
      <c r="AF149" s="49"/>
      <c r="AG149" s="49"/>
      <c r="AH149" s="49"/>
    </row>
    <row r="150" spans="2:34" s="4" customFormat="1" ht="161.25" customHeight="1" x14ac:dyDescent="0.25">
      <c r="B150" s="24" t="s">
        <v>361</v>
      </c>
      <c r="C150" s="24" t="s">
        <v>682</v>
      </c>
      <c r="D150" s="24" t="s">
        <v>362</v>
      </c>
      <c r="E150" s="24" t="s">
        <v>672</v>
      </c>
      <c r="F150" s="24" t="s">
        <v>673</v>
      </c>
      <c r="G150" s="24" t="s">
        <v>455</v>
      </c>
      <c r="H150" s="24" t="s">
        <v>674</v>
      </c>
      <c r="I150" s="24" t="s">
        <v>457</v>
      </c>
      <c r="J150" s="24" t="s">
        <v>47</v>
      </c>
      <c r="K150" s="24" t="s">
        <v>47</v>
      </c>
      <c r="L150" s="38" t="s">
        <v>846</v>
      </c>
      <c r="M150" s="38" t="s">
        <v>847</v>
      </c>
      <c r="N150" s="38">
        <v>32</v>
      </c>
      <c r="O150" s="31"/>
      <c r="P150" s="31"/>
      <c r="Q150" s="31"/>
      <c r="R150" s="31"/>
      <c r="S150" s="31"/>
      <c r="T150" s="31"/>
      <c r="U150" s="31"/>
      <c r="V150" s="31"/>
      <c r="W150" s="42"/>
      <c r="X150" s="49"/>
      <c r="Y150" s="135"/>
      <c r="Z150" s="135"/>
      <c r="AA150" s="135"/>
      <c r="AB150" s="135"/>
      <c r="AC150" s="135"/>
      <c r="AD150" s="135"/>
      <c r="AE150" s="135"/>
      <c r="AF150" s="49"/>
      <c r="AG150" s="49"/>
      <c r="AH150" s="49"/>
    </row>
    <row r="151" spans="2:34" s="4" customFormat="1" ht="166.5" customHeight="1" x14ac:dyDescent="0.25">
      <c r="B151" s="24" t="s">
        <v>363</v>
      </c>
      <c r="C151" s="24" t="s">
        <v>683</v>
      </c>
      <c r="D151" s="24" t="s">
        <v>364</v>
      </c>
      <c r="E151" s="24" t="s">
        <v>675</v>
      </c>
      <c r="F151" s="24" t="s">
        <v>673</v>
      </c>
      <c r="G151" s="24" t="s">
        <v>531</v>
      </c>
      <c r="H151" s="24" t="s">
        <v>674</v>
      </c>
      <c r="I151" s="24" t="s">
        <v>457</v>
      </c>
      <c r="J151" s="24" t="s">
        <v>47</v>
      </c>
      <c r="K151" s="24" t="s">
        <v>47</v>
      </c>
      <c r="L151" s="38" t="s">
        <v>846</v>
      </c>
      <c r="M151" s="38" t="s">
        <v>847</v>
      </c>
      <c r="N151" s="38">
        <v>15</v>
      </c>
      <c r="O151" s="31"/>
      <c r="P151" s="31"/>
      <c r="Q151" s="31"/>
      <c r="R151" s="31"/>
      <c r="S151" s="31"/>
      <c r="T151" s="31"/>
      <c r="U151" s="31"/>
      <c r="V151" s="31"/>
      <c r="W151" s="42"/>
      <c r="X151" s="49"/>
      <c r="Y151" s="135"/>
      <c r="Z151" s="135"/>
      <c r="AA151" s="135"/>
      <c r="AB151" s="135"/>
      <c r="AC151" s="135"/>
      <c r="AD151" s="135"/>
      <c r="AE151" s="135"/>
      <c r="AF151" s="49"/>
      <c r="AG151" s="49"/>
      <c r="AH151" s="49"/>
    </row>
    <row r="152" spans="2:34" s="4" customFormat="1" ht="166.5" customHeight="1" x14ac:dyDescent="0.25">
      <c r="B152" s="24" t="s">
        <v>365</v>
      </c>
      <c r="C152" s="24" t="s">
        <v>684</v>
      </c>
      <c r="D152" s="24" t="s">
        <v>366</v>
      </c>
      <c r="E152" s="24" t="s">
        <v>676</v>
      </c>
      <c r="F152" s="24" t="s">
        <v>673</v>
      </c>
      <c r="G152" s="24" t="s">
        <v>586</v>
      </c>
      <c r="H152" s="24" t="s">
        <v>674</v>
      </c>
      <c r="I152" s="24" t="s">
        <v>457</v>
      </c>
      <c r="J152" s="24" t="s">
        <v>47</v>
      </c>
      <c r="K152" s="24" t="s">
        <v>47</v>
      </c>
      <c r="L152" s="38" t="s">
        <v>846</v>
      </c>
      <c r="M152" s="38" t="s">
        <v>847</v>
      </c>
      <c r="N152" s="38">
        <v>19</v>
      </c>
      <c r="O152" s="31"/>
      <c r="P152" s="31"/>
      <c r="Q152" s="31"/>
      <c r="R152" s="31"/>
      <c r="S152" s="31"/>
      <c r="T152" s="31"/>
      <c r="U152" s="31"/>
      <c r="V152" s="31"/>
      <c r="W152" s="42"/>
      <c r="X152" s="49"/>
      <c r="Y152" s="135"/>
      <c r="Z152" s="135"/>
      <c r="AA152" s="135"/>
      <c r="AB152" s="135"/>
      <c r="AC152" s="135"/>
      <c r="AD152" s="135"/>
      <c r="AE152" s="135"/>
      <c r="AF152" s="49"/>
      <c r="AG152" s="49"/>
      <c r="AH152" s="49"/>
    </row>
    <row r="153" spans="2:34" s="4" customFormat="1" ht="165" customHeight="1" x14ac:dyDescent="0.25">
      <c r="B153" s="24" t="s">
        <v>367</v>
      </c>
      <c r="C153" s="24" t="s">
        <v>685</v>
      </c>
      <c r="D153" s="24" t="s">
        <v>368</v>
      </c>
      <c r="E153" s="24" t="s">
        <v>677</v>
      </c>
      <c r="F153" s="24" t="s">
        <v>673</v>
      </c>
      <c r="G153" s="24" t="s">
        <v>508</v>
      </c>
      <c r="H153" s="24" t="s">
        <v>674</v>
      </c>
      <c r="I153" s="24" t="s">
        <v>457</v>
      </c>
      <c r="J153" s="24" t="s">
        <v>47</v>
      </c>
      <c r="K153" s="24" t="s">
        <v>47</v>
      </c>
      <c r="L153" s="38" t="s">
        <v>846</v>
      </c>
      <c r="M153" s="38" t="s">
        <v>847</v>
      </c>
      <c r="N153" s="38">
        <v>13</v>
      </c>
      <c r="O153" s="31"/>
      <c r="P153" s="31"/>
      <c r="Q153" s="31"/>
      <c r="R153" s="31"/>
      <c r="S153" s="31"/>
      <c r="T153" s="31"/>
      <c r="U153" s="31"/>
      <c r="V153" s="31"/>
      <c r="W153" s="42"/>
      <c r="X153" s="49"/>
      <c r="Y153" s="135"/>
      <c r="Z153" s="135"/>
      <c r="AA153" s="135"/>
      <c r="AB153" s="135"/>
      <c r="AC153" s="135"/>
      <c r="AD153" s="135"/>
      <c r="AE153" s="135"/>
      <c r="AF153" s="49"/>
      <c r="AG153" s="49"/>
      <c r="AH153" s="49"/>
    </row>
    <row r="154" spans="2:34" s="4" customFormat="1" ht="170.25" customHeight="1" x14ac:dyDescent="0.25">
      <c r="B154" s="24" t="s">
        <v>369</v>
      </c>
      <c r="C154" s="24" t="s">
        <v>686</v>
      </c>
      <c r="D154" s="51" t="s">
        <v>1046</v>
      </c>
      <c r="E154" s="24" t="s">
        <v>678</v>
      </c>
      <c r="F154" s="24" t="s">
        <v>673</v>
      </c>
      <c r="G154" s="24" t="s">
        <v>679</v>
      </c>
      <c r="H154" s="24" t="s">
        <v>674</v>
      </c>
      <c r="I154" s="24" t="s">
        <v>457</v>
      </c>
      <c r="J154" s="24" t="s">
        <v>47</v>
      </c>
      <c r="K154" s="24" t="s">
        <v>47</v>
      </c>
      <c r="L154" s="38" t="s">
        <v>846</v>
      </c>
      <c r="M154" s="38" t="s">
        <v>847</v>
      </c>
      <c r="N154" s="38">
        <v>5</v>
      </c>
      <c r="O154" s="31"/>
      <c r="P154" s="31"/>
      <c r="Q154" s="31"/>
      <c r="R154" s="31"/>
      <c r="S154" s="31"/>
      <c r="T154" s="31"/>
      <c r="U154" s="31"/>
      <c r="V154" s="31"/>
      <c r="W154" s="42"/>
      <c r="X154" s="49"/>
      <c r="Y154" s="135"/>
      <c r="Z154" s="135"/>
      <c r="AA154" s="135"/>
      <c r="AB154" s="135"/>
      <c r="AC154" s="135"/>
      <c r="AD154" s="135"/>
      <c r="AE154" s="135"/>
      <c r="AF154" s="49"/>
      <c r="AG154" s="49"/>
      <c r="AH154" s="49"/>
    </row>
    <row r="155" spans="2:34" s="4" customFormat="1" ht="168" customHeight="1" x14ac:dyDescent="0.25">
      <c r="B155" s="24" t="s">
        <v>371</v>
      </c>
      <c r="C155" s="24" t="s">
        <v>687</v>
      </c>
      <c r="D155" s="24" t="s">
        <v>372</v>
      </c>
      <c r="E155" s="24" t="s">
        <v>680</v>
      </c>
      <c r="F155" s="24" t="s">
        <v>673</v>
      </c>
      <c r="G155" s="24" t="s">
        <v>681</v>
      </c>
      <c r="H155" s="24" t="s">
        <v>674</v>
      </c>
      <c r="I155" s="24" t="s">
        <v>457</v>
      </c>
      <c r="J155" s="24" t="s">
        <v>47</v>
      </c>
      <c r="K155" s="24" t="s">
        <v>47</v>
      </c>
      <c r="L155" s="38" t="s">
        <v>846</v>
      </c>
      <c r="M155" s="38" t="s">
        <v>847</v>
      </c>
      <c r="N155" s="38">
        <v>17</v>
      </c>
      <c r="O155" s="31"/>
      <c r="P155" s="31"/>
      <c r="Q155" s="31"/>
      <c r="R155" s="31"/>
      <c r="S155" s="31"/>
      <c r="T155" s="31"/>
      <c r="U155" s="31"/>
      <c r="V155" s="31"/>
      <c r="W155" s="42"/>
      <c r="X155" s="49"/>
      <c r="Y155" s="135"/>
      <c r="Z155" s="135"/>
      <c r="AA155" s="135"/>
      <c r="AB155" s="135"/>
      <c r="AC155" s="135"/>
      <c r="AD155" s="135"/>
      <c r="AE155" s="135"/>
      <c r="AF155" s="49"/>
      <c r="AG155" s="49"/>
      <c r="AH155" s="49"/>
    </row>
    <row r="156" spans="2:34" s="4" customFormat="1" ht="82.5" customHeight="1" x14ac:dyDescent="0.25">
      <c r="B156" s="8" t="s">
        <v>373</v>
      </c>
      <c r="C156" s="21"/>
      <c r="D156" s="21" t="s">
        <v>374</v>
      </c>
      <c r="E156" s="8"/>
      <c r="F156" s="8"/>
      <c r="G156" s="8"/>
      <c r="H156" s="21"/>
      <c r="I156" s="21"/>
      <c r="J156" s="8"/>
      <c r="K156" s="8"/>
      <c r="L156" s="34"/>
      <c r="M156" s="33"/>
      <c r="N156" s="33"/>
      <c r="O156" s="34"/>
      <c r="P156" s="34"/>
      <c r="Q156" s="34"/>
      <c r="R156" s="33"/>
      <c r="S156" s="33"/>
      <c r="T156" s="34"/>
      <c r="U156" s="34"/>
      <c r="V156" s="34"/>
      <c r="W156" s="139"/>
      <c r="X156" s="49"/>
      <c r="Y156" s="135"/>
      <c r="Z156" s="135"/>
      <c r="AA156" s="135"/>
      <c r="AB156" s="135"/>
      <c r="AC156" s="135"/>
      <c r="AD156" s="135"/>
      <c r="AE156" s="135"/>
      <c r="AF156" s="49"/>
      <c r="AG156" s="49"/>
      <c r="AH156" s="49"/>
    </row>
    <row r="157" spans="2:34" s="4" customFormat="1" ht="51" x14ac:dyDescent="0.25">
      <c r="B157" s="22" t="s">
        <v>375</v>
      </c>
      <c r="C157" s="22"/>
      <c r="D157" s="22" t="s">
        <v>688</v>
      </c>
      <c r="E157" s="22"/>
      <c r="F157" s="22"/>
      <c r="G157" s="22"/>
      <c r="H157" s="22"/>
      <c r="I157" s="22"/>
      <c r="J157" s="22"/>
      <c r="K157" s="22"/>
      <c r="L157" s="35"/>
      <c r="M157" s="35"/>
      <c r="N157" s="35"/>
      <c r="O157" s="35"/>
      <c r="P157" s="35"/>
      <c r="Q157" s="35"/>
      <c r="R157" s="35"/>
      <c r="S157" s="35"/>
      <c r="T157" s="35"/>
      <c r="U157" s="35"/>
      <c r="V157" s="35"/>
      <c r="W157" s="130"/>
      <c r="X157" s="49"/>
      <c r="Y157" s="135"/>
      <c r="Z157" s="135"/>
      <c r="AA157" s="135"/>
      <c r="AB157" s="135"/>
      <c r="AC157" s="135"/>
      <c r="AD157" s="135"/>
      <c r="AE157" s="135"/>
      <c r="AF157" s="49"/>
      <c r="AG157" s="49"/>
      <c r="AH157" s="49"/>
    </row>
    <row r="158" spans="2:34" s="4" customFormat="1" ht="153" x14ac:dyDescent="0.25">
      <c r="B158" s="24" t="s">
        <v>699</v>
      </c>
      <c r="C158" s="24" t="s">
        <v>702</v>
      </c>
      <c r="D158" s="24" t="s">
        <v>378</v>
      </c>
      <c r="E158" s="24" t="s">
        <v>689</v>
      </c>
      <c r="F158" s="24" t="s">
        <v>690</v>
      </c>
      <c r="G158" s="24" t="s">
        <v>455</v>
      </c>
      <c r="H158" s="24" t="s">
        <v>691</v>
      </c>
      <c r="I158" s="24" t="s">
        <v>457</v>
      </c>
      <c r="J158" s="24" t="s">
        <v>692</v>
      </c>
      <c r="K158" s="24" t="s">
        <v>692</v>
      </c>
      <c r="L158" s="38" t="s">
        <v>848</v>
      </c>
      <c r="M158" s="38" t="s">
        <v>849</v>
      </c>
      <c r="N158" s="38">
        <v>2100</v>
      </c>
      <c r="O158" s="38" t="s">
        <v>850</v>
      </c>
      <c r="P158" s="38" t="s">
        <v>851</v>
      </c>
      <c r="Q158" s="38">
        <v>1</v>
      </c>
      <c r="R158" s="38"/>
      <c r="S158" s="31"/>
      <c r="T158" s="31"/>
      <c r="U158" s="31"/>
      <c r="V158" s="31"/>
      <c r="W158" s="42"/>
      <c r="X158" s="49"/>
      <c r="Y158" s="135"/>
      <c r="Z158" s="135"/>
      <c r="AA158" s="135"/>
      <c r="AB158" s="135"/>
      <c r="AC158" s="135"/>
      <c r="AD158" s="135"/>
      <c r="AE158" s="135"/>
      <c r="AF158" s="49"/>
      <c r="AG158" s="49"/>
      <c r="AH158" s="49"/>
    </row>
    <row r="159" spans="2:34" s="4" customFormat="1" ht="153" x14ac:dyDescent="0.25">
      <c r="B159" s="24" t="s">
        <v>700</v>
      </c>
      <c r="C159" s="24" t="s">
        <v>703</v>
      </c>
      <c r="D159" s="24" t="s">
        <v>380</v>
      </c>
      <c r="E159" s="24" t="s">
        <v>693</v>
      </c>
      <c r="F159" s="24" t="s">
        <v>690</v>
      </c>
      <c r="G159" s="24" t="s">
        <v>586</v>
      </c>
      <c r="H159" s="24" t="s">
        <v>691</v>
      </c>
      <c r="I159" s="24" t="s">
        <v>457</v>
      </c>
      <c r="J159" s="24" t="s">
        <v>47</v>
      </c>
      <c r="K159" s="24" t="s">
        <v>47</v>
      </c>
      <c r="L159" s="38" t="s">
        <v>848</v>
      </c>
      <c r="M159" s="38" t="s">
        <v>852</v>
      </c>
      <c r="N159" s="38">
        <v>1782</v>
      </c>
      <c r="O159" s="38"/>
      <c r="P159" s="38"/>
      <c r="Q159" s="38"/>
      <c r="R159" s="38"/>
      <c r="S159" s="31"/>
      <c r="T159" s="31"/>
      <c r="U159" s="31"/>
      <c r="V159" s="31"/>
      <c r="W159" s="42"/>
      <c r="X159" s="49"/>
      <c r="Y159" s="135"/>
      <c r="Z159" s="135"/>
      <c r="AA159" s="135"/>
      <c r="AB159" s="135"/>
      <c r="AC159" s="135"/>
      <c r="AD159" s="135"/>
      <c r="AE159" s="135"/>
      <c r="AF159" s="49"/>
      <c r="AG159" s="49"/>
      <c r="AH159" s="49"/>
    </row>
    <row r="160" spans="2:34" s="4" customFormat="1" ht="153" x14ac:dyDescent="0.25">
      <c r="B160" s="24" t="s">
        <v>701</v>
      </c>
      <c r="C160" s="24" t="s">
        <v>704</v>
      </c>
      <c r="D160" s="24" t="s">
        <v>382</v>
      </c>
      <c r="E160" s="24" t="s">
        <v>694</v>
      </c>
      <c r="F160" s="24" t="s">
        <v>690</v>
      </c>
      <c r="G160" s="24" t="s">
        <v>508</v>
      </c>
      <c r="H160" s="24" t="s">
        <v>691</v>
      </c>
      <c r="I160" s="24" t="s">
        <v>457</v>
      </c>
      <c r="J160" s="24" t="s">
        <v>47</v>
      </c>
      <c r="K160" s="24" t="s">
        <v>47</v>
      </c>
      <c r="L160" s="38" t="s">
        <v>848</v>
      </c>
      <c r="M160" s="38" t="s">
        <v>853</v>
      </c>
      <c r="N160" s="38">
        <v>2488</v>
      </c>
      <c r="O160" s="38"/>
      <c r="P160" s="38"/>
      <c r="Q160" s="38"/>
      <c r="R160" s="38"/>
      <c r="S160" s="31"/>
      <c r="T160" s="31"/>
      <c r="U160" s="31"/>
      <c r="V160" s="31"/>
      <c r="W160" s="42"/>
      <c r="X160" s="49"/>
      <c r="Y160" s="135"/>
      <c r="Z160" s="135"/>
      <c r="AA160" s="135"/>
      <c r="AB160" s="135"/>
      <c r="AC160" s="135"/>
      <c r="AD160" s="135"/>
      <c r="AE160" s="135"/>
      <c r="AF160" s="49"/>
      <c r="AG160" s="49"/>
      <c r="AH160" s="49"/>
    </row>
    <row r="161" spans="2:34" s="4" customFormat="1" ht="153" x14ac:dyDescent="0.25">
      <c r="B161" s="24" t="s">
        <v>383</v>
      </c>
      <c r="C161" s="24" t="s">
        <v>705</v>
      </c>
      <c r="D161" s="24" t="s">
        <v>384</v>
      </c>
      <c r="E161" s="24" t="s">
        <v>695</v>
      </c>
      <c r="F161" s="24" t="s">
        <v>690</v>
      </c>
      <c r="G161" s="24" t="s">
        <v>696</v>
      </c>
      <c r="H161" s="24" t="s">
        <v>691</v>
      </c>
      <c r="I161" s="24" t="s">
        <v>457</v>
      </c>
      <c r="J161" s="24" t="s">
        <v>692</v>
      </c>
      <c r="K161" s="24" t="s">
        <v>692</v>
      </c>
      <c r="L161" s="38" t="s">
        <v>848</v>
      </c>
      <c r="M161" s="38" t="s">
        <v>854</v>
      </c>
      <c r="N161" s="38">
        <v>1414</v>
      </c>
      <c r="O161" s="31"/>
      <c r="P161" s="31"/>
      <c r="Q161" s="31"/>
      <c r="R161" s="31"/>
      <c r="S161" s="31"/>
      <c r="T161" s="31"/>
      <c r="U161" s="31"/>
      <c r="V161" s="31"/>
      <c r="W161" s="42"/>
      <c r="X161" s="49"/>
      <c r="Y161" s="135"/>
      <c r="Z161" s="135"/>
      <c r="AA161" s="135"/>
      <c r="AB161" s="135"/>
      <c r="AC161" s="135"/>
      <c r="AD161" s="135"/>
      <c r="AE161" s="135"/>
      <c r="AF161" s="49"/>
      <c r="AG161" s="49"/>
      <c r="AH161" s="49"/>
    </row>
    <row r="162" spans="2:34" s="4" customFormat="1" ht="153" x14ac:dyDescent="0.25">
      <c r="B162" s="24" t="s">
        <v>385</v>
      </c>
      <c r="C162" s="24" t="s">
        <v>706</v>
      </c>
      <c r="D162" s="24" t="s">
        <v>386</v>
      </c>
      <c r="E162" s="24" t="s">
        <v>697</v>
      </c>
      <c r="F162" s="24" t="s">
        <v>673</v>
      </c>
      <c r="G162" s="24" t="s">
        <v>531</v>
      </c>
      <c r="H162" s="24" t="s">
        <v>691</v>
      </c>
      <c r="I162" s="24" t="s">
        <v>457</v>
      </c>
      <c r="J162" s="24" t="s">
        <v>47</v>
      </c>
      <c r="K162" s="24" t="s">
        <v>47</v>
      </c>
      <c r="L162" s="38" t="s">
        <v>848</v>
      </c>
      <c r="M162" s="38" t="s">
        <v>855</v>
      </c>
      <c r="N162" s="86">
        <v>591</v>
      </c>
      <c r="O162" s="31"/>
      <c r="P162" s="31"/>
      <c r="Q162" s="31"/>
      <c r="R162" s="31"/>
      <c r="S162" s="31"/>
      <c r="T162" s="31"/>
      <c r="U162" s="31"/>
      <c r="V162" s="31"/>
      <c r="W162" s="42"/>
      <c r="X162" s="49"/>
      <c r="Y162" s="135"/>
      <c r="Z162" s="135"/>
      <c r="AA162" s="135"/>
      <c r="AB162" s="135"/>
      <c r="AC162" s="135"/>
      <c r="AD162" s="135"/>
      <c r="AE162" s="135"/>
      <c r="AF162" s="49"/>
      <c r="AG162" s="49"/>
      <c r="AH162" s="49"/>
    </row>
    <row r="163" spans="2:34" s="4" customFormat="1" ht="153" x14ac:dyDescent="0.25">
      <c r="B163" s="24" t="s">
        <v>387</v>
      </c>
      <c r="C163" s="24" t="s">
        <v>707</v>
      </c>
      <c r="D163" s="24" t="s">
        <v>388</v>
      </c>
      <c r="E163" s="24" t="s">
        <v>698</v>
      </c>
      <c r="F163" s="24" t="s">
        <v>673</v>
      </c>
      <c r="G163" s="24" t="s">
        <v>679</v>
      </c>
      <c r="H163" s="24" t="s">
        <v>691</v>
      </c>
      <c r="I163" s="24" t="s">
        <v>457</v>
      </c>
      <c r="J163" s="24" t="s">
        <v>47</v>
      </c>
      <c r="K163" s="24" t="s">
        <v>47</v>
      </c>
      <c r="L163" s="38" t="s">
        <v>848</v>
      </c>
      <c r="M163" s="38" t="s">
        <v>856</v>
      </c>
      <c r="N163" s="38">
        <v>500</v>
      </c>
      <c r="O163" s="31"/>
      <c r="P163" s="31"/>
      <c r="Q163" s="31"/>
      <c r="R163" s="31"/>
      <c r="S163" s="31"/>
      <c r="T163" s="31"/>
      <c r="U163" s="31"/>
      <c r="V163" s="31"/>
      <c r="W163" s="42"/>
      <c r="X163" s="49"/>
      <c r="Y163" s="135"/>
      <c r="Z163" s="135"/>
      <c r="AA163" s="135"/>
      <c r="AB163" s="135"/>
      <c r="AC163" s="135"/>
      <c r="AD163" s="135"/>
      <c r="AE163" s="135"/>
      <c r="AF163" s="49"/>
      <c r="AG163" s="49"/>
      <c r="AH163" s="49"/>
    </row>
    <row r="164" spans="2:34" s="4" customFormat="1" ht="76.5" x14ac:dyDescent="0.25">
      <c r="B164" s="8" t="s">
        <v>389</v>
      </c>
      <c r="C164" s="21"/>
      <c r="D164" s="21" t="s">
        <v>390</v>
      </c>
      <c r="E164" s="8"/>
      <c r="F164" s="8"/>
      <c r="G164" s="8"/>
      <c r="H164" s="21"/>
      <c r="I164" s="21"/>
      <c r="J164" s="8"/>
      <c r="K164" s="8"/>
      <c r="L164" s="34"/>
      <c r="M164" s="33"/>
      <c r="N164" s="33"/>
      <c r="O164" s="34"/>
      <c r="P164" s="34"/>
      <c r="Q164" s="34"/>
      <c r="R164" s="33"/>
      <c r="S164" s="33"/>
      <c r="T164" s="34"/>
      <c r="U164" s="34"/>
      <c r="V164" s="34"/>
      <c r="W164" s="139"/>
      <c r="X164" s="49"/>
      <c r="Y164" s="135"/>
      <c r="Z164" s="135"/>
      <c r="AA164" s="135"/>
      <c r="AB164" s="135"/>
      <c r="AC164" s="135"/>
      <c r="AD164" s="135"/>
      <c r="AE164" s="135"/>
      <c r="AF164" s="49"/>
      <c r="AG164" s="49"/>
      <c r="AH164" s="49"/>
    </row>
    <row r="165" spans="2:34" s="4" customFormat="1" ht="51" x14ac:dyDescent="0.25">
      <c r="B165" s="22" t="s">
        <v>391</v>
      </c>
      <c r="C165" s="22"/>
      <c r="D165" s="22" t="s">
        <v>392</v>
      </c>
      <c r="E165" s="22"/>
      <c r="F165" s="22"/>
      <c r="G165" s="22"/>
      <c r="H165" s="22"/>
      <c r="I165" s="22"/>
      <c r="J165" s="22"/>
      <c r="K165" s="22"/>
      <c r="L165" s="35"/>
      <c r="M165" s="35"/>
      <c r="N165" s="35"/>
      <c r="O165" s="35"/>
      <c r="P165" s="35"/>
      <c r="Q165" s="35"/>
      <c r="R165" s="35"/>
      <c r="S165" s="35"/>
      <c r="T165" s="35"/>
      <c r="U165" s="35"/>
      <c r="V165" s="35"/>
      <c r="W165" s="130"/>
      <c r="X165" s="49"/>
      <c r="Y165" s="135"/>
      <c r="Z165" s="135"/>
      <c r="AA165" s="135"/>
      <c r="AB165" s="135"/>
      <c r="AC165" s="135"/>
      <c r="AD165" s="135"/>
      <c r="AE165" s="135"/>
      <c r="AF165" s="49"/>
      <c r="AG165" s="49"/>
      <c r="AH165" s="49"/>
    </row>
    <row r="166" spans="2:34" s="4" customFormat="1" ht="114.75" x14ac:dyDescent="0.25">
      <c r="B166" s="24" t="s">
        <v>393</v>
      </c>
      <c r="C166" s="24" t="s">
        <v>711</v>
      </c>
      <c r="D166" s="24" t="s">
        <v>394</v>
      </c>
      <c r="E166" s="24" t="s">
        <v>453</v>
      </c>
      <c r="F166" s="24" t="s">
        <v>708</v>
      </c>
      <c r="G166" s="24" t="s">
        <v>460</v>
      </c>
      <c r="H166" s="24" t="s">
        <v>709</v>
      </c>
      <c r="I166" s="24" t="s">
        <v>457</v>
      </c>
      <c r="J166" s="24" t="s">
        <v>47</v>
      </c>
      <c r="K166" s="24" t="s">
        <v>47</v>
      </c>
      <c r="L166" s="38" t="s">
        <v>857</v>
      </c>
      <c r="M166" s="38" t="s">
        <v>858</v>
      </c>
      <c r="N166" s="38">
        <v>1</v>
      </c>
      <c r="O166" s="38" t="s">
        <v>859</v>
      </c>
      <c r="P166" s="38" t="s">
        <v>860</v>
      </c>
      <c r="Q166" s="38">
        <v>55</v>
      </c>
      <c r="R166" s="38" t="s">
        <v>861</v>
      </c>
      <c r="S166" s="38" t="s">
        <v>862</v>
      </c>
      <c r="T166" s="38">
        <v>40</v>
      </c>
      <c r="U166" s="31"/>
      <c r="V166" s="31"/>
      <c r="W166" s="42"/>
      <c r="X166" s="49"/>
      <c r="Y166" s="135"/>
      <c r="Z166" s="135"/>
      <c r="AA166" s="135"/>
      <c r="AB166" s="135"/>
      <c r="AC166" s="135"/>
      <c r="AD166" s="135"/>
      <c r="AE166" s="135"/>
      <c r="AF166" s="49"/>
      <c r="AG166" s="49"/>
      <c r="AH166" s="49"/>
    </row>
    <row r="167" spans="2:34" s="4" customFormat="1" ht="114.75" x14ac:dyDescent="0.25">
      <c r="B167" s="24" t="s">
        <v>395</v>
      </c>
      <c r="C167" s="24" t="s">
        <v>712</v>
      </c>
      <c r="D167" s="24" t="s">
        <v>396</v>
      </c>
      <c r="E167" s="24" t="s">
        <v>396</v>
      </c>
      <c r="F167" s="24" t="s">
        <v>708</v>
      </c>
      <c r="G167" s="24" t="s">
        <v>541</v>
      </c>
      <c r="H167" s="24" t="s">
        <v>709</v>
      </c>
      <c r="I167" s="24" t="s">
        <v>457</v>
      </c>
      <c r="J167" s="24" t="s">
        <v>47</v>
      </c>
      <c r="K167" s="24" t="s">
        <v>47</v>
      </c>
      <c r="L167" s="38" t="s">
        <v>857</v>
      </c>
      <c r="M167" s="38" t="s">
        <v>858</v>
      </c>
      <c r="N167" s="38">
        <v>1</v>
      </c>
      <c r="O167" s="38" t="s">
        <v>859</v>
      </c>
      <c r="P167" s="38" t="s">
        <v>860</v>
      </c>
      <c r="Q167" s="38">
        <v>43</v>
      </c>
      <c r="R167" s="38" t="s">
        <v>861</v>
      </c>
      <c r="S167" s="38" t="s">
        <v>862</v>
      </c>
      <c r="T167" s="38">
        <v>28</v>
      </c>
      <c r="U167" s="31"/>
      <c r="V167" s="31"/>
      <c r="W167" s="42"/>
      <c r="X167" s="49"/>
      <c r="Y167" s="135"/>
      <c r="Z167" s="135"/>
      <c r="AA167" s="135"/>
      <c r="AB167" s="135"/>
      <c r="AC167" s="135"/>
      <c r="AD167" s="135"/>
      <c r="AE167" s="135"/>
      <c r="AF167" s="49"/>
      <c r="AG167" s="49"/>
      <c r="AH167" s="49"/>
    </row>
    <row r="168" spans="2:34" s="4" customFormat="1" ht="114.75" x14ac:dyDescent="0.25">
      <c r="B168" s="24" t="s">
        <v>397</v>
      </c>
      <c r="C168" s="24" t="s">
        <v>713</v>
      </c>
      <c r="D168" s="24" t="s">
        <v>398</v>
      </c>
      <c r="E168" s="24" t="s">
        <v>710</v>
      </c>
      <c r="F168" s="24" t="s">
        <v>708</v>
      </c>
      <c r="G168" s="24" t="s">
        <v>539</v>
      </c>
      <c r="H168" s="24" t="s">
        <v>709</v>
      </c>
      <c r="I168" s="24" t="s">
        <v>457</v>
      </c>
      <c r="J168" s="24" t="s">
        <v>47</v>
      </c>
      <c r="K168" s="24" t="s">
        <v>47</v>
      </c>
      <c r="L168" s="38" t="s">
        <v>857</v>
      </c>
      <c r="M168" s="38" t="s">
        <v>858</v>
      </c>
      <c r="N168" s="38">
        <v>1</v>
      </c>
      <c r="O168" s="38" t="s">
        <v>859</v>
      </c>
      <c r="P168" s="38" t="s">
        <v>860</v>
      </c>
      <c r="Q168" s="38">
        <v>18</v>
      </c>
      <c r="R168" s="38" t="s">
        <v>861</v>
      </c>
      <c r="S168" s="38" t="s">
        <v>862</v>
      </c>
      <c r="T168" s="38">
        <v>14</v>
      </c>
      <c r="U168" s="31"/>
      <c r="V168" s="31"/>
      <c r="W168" s="42"/>
      <c r="X168" s="49"/>
      <c r="Y168" s="135"/>
      <c r="Z168" s="135"/>
      <c r="AA168" s="135"/>
      <c r="AB168" s="135"/>
      <c r="AC168" s="135"/>
      <c r="AD168" s="135"/>
      <c r="AE168" s="135"/>
      <c r="AF168" s="49"/>
      <c r="AG168" s="49"/>
      <c r="AH168" s="49"/>
    </row>
    <row r="169" spans="2:34" s="4" customFormat="1" ht="114.75" x14ac:dyDescent="0.25">
      <c r="B169" s="24" t="s">
        <v>399</v>
      </c>
      <c r="C169" s="24" t="s">
        <v>714</v>
      </c>
      <c r="D169" s="24" t="s">
        <v>400</v>
      </c>
      <c r="E169" s="24" t="s">
        <v>503</v>
      </c>
      <c r="F169" s="24" t="s">
        <v>708</v>
      </c>
      <c r="G169" s="24" t="s">
        <v>679</v>
      </c>
      <c r="H169" s="24" t="s">
        <v>709</v>
      </c>
      <c r="I169" s="24" t="s">
        <v>457</v>
      </c>
      <c r="J169" s="24" t="s">
        <v>458</v>
      </c>
      <c r="K169" s="24" t="s">
        <v>47</v>
      </c>
      <c r="L169" s="38" t="s">
        <v>857</v>
      </c>
      <c r="M169" s="38" t="s">
        <v>858</v>
      </c>
      <c r="N169" s="38">
        <v>1</v>
      </c>
      <c r="O169" s="38" t="s">
        <v>859</v>
      </c>
      <c r="P169" s="38" t="s">
        <v>860</v>
      </c>
      <c r="Q169" s="38">
        <v>20</v>
      </c>
      <c r="R169" s="38" t="s">
        <v>861</v>
      </c>
      <c r="S169" s="38" t="s">
        <v>862</v>
      </c>
      <c r="T169" s="38">
        <v>16</v>
      </c>
      <c r="U169" s="31"/>
      <c r="V169" s="31"/>
      <c r="W169" s="42"/>
      <c r="X169" s="49"/>
      <c r="Y169" s="135"/>
      <c r="Z169" s="135"/>
      <c r="AA169" s="135"/>
      <c r="AB169" s="135"/>
      <c r="AC169" s="135"/>
      <c r="AD169" s="135"/>
      <c r="AE169" s="135"/>
      <c r="AF169" s="49"/>
      <c r="AG169" s="49"/>
      <c r="AH169" s="49"/>
    </row>
    <row r="170" spans="2:34" s="4" customFormat="1" ht="25.5" x14ac:dyDescent="0.25">
      <c r="B170" s="22" t="s">
        <v>401</v>
      </c>
      <c r="C170" s="22"/>
      <c r="D170" s="22" t="s">
        <v>402</v>
      </c>
      <c r="E170" s="22"/>
      <c r="F170" s="22"/>
      <c r="G170" s="22"/>
      <c r="H170" s="22"/>
      <c r="I170" s="22"/>
      <c r="J170" s="22"/>
      <c r="K170" s="22"/>
      <c r="L170" s="35"/>
      <c r="M170" s="35"/>
      <c r="N170" s="35"/>
      <c r="O170" s="35"/>
      <c r="P170" s="35"/>
      <c r="Q170" s="35"/>
      <c r="R170" s="35"/>
      <c r="S170" s="35"/>
      <c r="T170" s="35"/>
      <c r="U170" s="35"/>
      <c r="V170" s="35"/>
      <c r="W170" s="130"/>
      <c r="X170" s="49"/>
      <c r="Y170" s="49"/>
      <c r="Z170" s="49"/>
      <c r="AA170" s="49"/>
      <c r="AB170" s="49"/>
      <c r="AC170" s="49"/>
      <c r="AD170" s="49"/>
      <c r="AE170" s="49"/>
      <c r="AF170" s="49"/>
      <c r="AG170" s="49"/>
      <c r="AH170" s="49"/>
    </row>
    <row r="171" spans="2:34" s="4" customFormat="1" ht="76.5" x14ac:dyDescent="0.25">
      <c r="B171" s="24" t="s">
        <v>403</v>
      </c>
      <c r="C171" s="13" t="s">
        <v>719</v>
      </c>
      <c r="D171" s="59" t="s">
        <v>1045</v>
      </c>
      <c r="E171" s="13" t="s">
        <v>500</v>
      </c>
      <c r="F171" s="13" t="s">
        <v>708</v>
      </c>
      <c r="G171" s="13" t="s">
        <v>501</v>
      </c>
      <c r="H171" s="13" t="s">
        <v>715</v>
      </c>
      <c r="I171" s="13" t="s">
        <v>457</v>
      </c>
      <c r="J171" s="13" t="s">
        <v>458</v>
      </c>
      <c r="K171" s="13" t="s">
        <v>47</v>
      </c>
      <c r="L171" s="31" t="s">
        <v>863</v>
      </c>
      <c r="M171" s="31" t="s">
        <v>864</v>
      </c>
      <c r="N171" s="42">
        <v>20</v>
      </c>
      <c r="O171" s="31"/>
      <c r="P171" s="31"/>
      <c r="Q171" s="31"/>
      <c r="R171" s="31"/>
      <c r="S171" s="31"/>
      <c r="T171" s="31"/>
      <c r="U171" s="31"/>
      <c r="V171" s="31"/>
      <c r="W171" s="42"/>
      <c r="X171" s="49"/>
      <c r="Y171" s="49"/>
      <c r="Z171" s="49"/>
      <c r="AA171" s="49"/>
      <c r="AB171" s="49"/>
      <c r="AC171" s="49"/>
      <c r="AD171" s="49"/>
      <c r="AE171" s="49"/>
      <c r="AF171" s="49"/>
      <c r="AG171" s="49"/>
      <c r="AH171" s="49"/>
    </row>
    <row r="172" spans="2:34" s="4" customFormat="1" ht="89.25" x14ac:dyDescent="0.25">
      <c r="B172" s="24" t="s">
        <v>404</v>
      </c>
      <c r="C172" s="13" t="s">
        <v>720</v>
      </c>
      <c r="D172" s="13" t="s">
        <v>716</v>
      </c>
      <c r="E172" s="13" t="s">
        <v>503</v>
      </c>
      <c r="F172" s="13" t="s">
        <v>708</v>
      </c>
      <c r="G172" s="13" t="s">
        <v>543</v>
      </c>
      <c r="H172" s="13" t="s">
        <v>715</v>
      </c>
      <c r="I172" s="13" t="s">
        <v>457</v>
      </c>
      <c r="J172" s="13" t="s">
        <v>458</v>
      </c>
      <c r="K172" s="13" t="s">
        <v>47</v>
      </c>
      <c r="L172" s="31" t="s">
        <v>863</v>
      </c>
      <c r="M172" s="31" t="s">
        <v>864</v>
      </c>
      <c r="N172" s="42">
        <v>25</v>
      </c>
      <c r="O172" s="31"/>
      <c r="P172" s="31"/>
      <c r="Q172" s="31"/>
      <c r="R172" s="31"/>
      <c r="S172" s="31"/>
      <c r="T172" s="31"/>
      <c r="U172" s="31"/>
      <c r="V172" s="31"/>
      <c r="W172" s="42"/>
      <c r="X172" s="49"/>
      <c r="Y172" s="49"/>
      <c r="Z172" s="49"/>
      <c r="AA172" s="49"/>
      <c r="AB172" s="49"/>
      <c r="AC172" s="49"/>
      <c r="AD172" s="49"/>
      <c r="AE172" s="49"/>
      <c r="AF172" s="49"/>
      <c r="AG172" s="49"/>
      <c r="AH172" s="49"/>
    </row>
    <row r="173" spans="2:34" s="4" customFormat="1" ht="76.5" x14ac:dyDescent="0.25">
      <c r="B173" s="24" t="s">
        <v>406</v>
      </c>
      <c r="C173" s="13" t="s">
        <v>721</v>
      </c>
      <c r="D173" s="13" t="s">
        <v>407</v>
      </c>
      <c r="E173" s="13" t="s">
        <v>453</v>
      </c>
      <c r="F173" s="13" t="s">
        <v>708</v>
      </c>
      <c r="G173" s="13" t="s">
        <v>460</v>
      </c>
      <c r="H173" s="13" t="s">
        <v>715</v>
      </c>
      <c r="I173" s="13" t="s">
        <v>457</v>
      </c>
      <c r="J173" s="13" t="s">
        <v>47</v>
      </c>
      <c r="K173" s="13" t="s">
        <v>47</v>
      </c>
      <c r="L173" s="31" t="s">
        <v>863</v>
      </c>
      <c r="M173" s="31" t="s">
        <v>864</v>
      </c>
      <c r="N173" s="86">
        <v>20</v>
      </c>
      <c r="O173" s="31"/>
      <c r="P173" s="31"/>
      <c r="Q173" s="31"/>
      <c r="R173" s="31"/>
      <c r="S173" s="31"/>
      <c r="T173" s="31"/>
      <c r="U173" s="31"/>
      <c r="V173" s="31"/>
      <c r="W173" s="42"/>
      <c r="X173" s="49"/>
      <c r="Y173" s="49"/>
      <c r="Z173" s="49"/>
      <c r="AA173" s="49"/>
      <c r="AB173" s="49"/>
      <c r="AC173" s="49"/>
      <c r="AD173" s="49"/>
      <c r="AE173" s="49"/>
      <c r="AF173" s="49"/>
      <c r="AG173" s="49"/>
      <c r="AH173" s="49"/>
    </row>
    <row r="174" spans="2:34" s="4" customFormat="1" ht="76.5" x14ac:dyDescent="0.25">
      <c r="B174" s="24" t="s">
        <v>408</v>
      </c>
      <c r="C174" s="13" t="s">
        <v>722</v>
      </c>
      <c r="D174" s="13" t="s">
        <v>409</v>
      </c>
      <c r="E174" s="13" t="s">
        <v>468</v>
      </c>
      <c r="F174" s="13" t="s">
        <v>708</v>
      </c>
      <c r="G174" s="13" t="s">
        <v>469</v>
      </c>
      <c r="H174" s="13" t="s">
        <v>715</v>
      </c>
      <c r="I174" s="13" t="s">
        <v>457</v>
      </c>
      <c r="J174" s="13" t="s">
        <v>47</v>
      </c>
      <c r="K174" s="13" t="s">
        <v>47</v>
      </c>
      <c r="L174" s="31" t="s">
        <v>863</v>
      </c>
      <c r="M174" s="31" t="s">
        <v>864</v>
      </c>
      <c r="N174" s="86">
        <v>21</v>
      </c>
      <c r="O174" s="31"/>
      <c r="P174" s="31"/>
      <c r="Q174" s="31"/>
      <c r="R174" s="31"/>
      <c r="S174" s="31"/>
      <c r="T174" s="31"/>
      <c r="U174" s="31"/>
      <c r="V174" s="31"/>
      <c r="W174" s="42"/>
      <c r="X174" s="49"/>
      <c r="Y174" s="49"/>
      <c r="Z174" s="49"/>
      <c r="AA174" s="49"/>
      <c r="AB174" s="49"/>
      <c r="AC174" s="49"/>
      <c r="AD174" s="49"/>
      <c r="AE174" s="49"/>
      <c r="AF174" s="49"/>
      <c r="AG174" s="49"/>
      <c r="AH174" s="49"/>
    </row>
    <row r="175" spans="2:34" s="4" customFormat="1" ht="76.5" x14ac:dyDescent="0.25">
      <c r="B175" s="24" t="s">
        <v>410</v>
      </c>
      <c r="C175" s="13" t="s">
        <v>723</v>
      </c>
      <c r="D175" s="13" t="s">
        <v>411</v>
      </c>
      <c r="E175" s="13" t="s">
        <v>538</v>
      </c>
      <c r="F175" s="13" t="s">
        <v>708</v>
      </c>
      <c r="G175" s="13" t="s">
        <v>539</v>
      </c>
      <c r="H175" s="13" t="s">
        <v>715</v>
      </c>
      <c r="I175" s="13" t="s">
        <v>457</v>
      </c>
      <c r="J175" s="13" t="s">
        <v>47</v>
      </c>
      <c r="K175" s="13" t="s">
        <v>47</v>
      </c>
      <c r="L175" s="31" t="s">
        <v>863</v>
      </c>
      <c r="M175" s="31" t="s">
        <v>864</v>
      </c>
      <c r="N175" s="86">
        <v>29</v>
      </c>
      <c r="O175" s="31"/>
      <c r="P175" s="31"/>
      <c r="Q175" s="31"/>
      <c r="R175" s="31"/>
      <c r="S175" s="31"/>
      <c r="T175" s="31"/>
      <c r="U175" s="31"/>
      <c r="V175" s="31"/>
      <c r="W175" s="42"/>
      <c r="X175" s="49"/>
      <c r="Y175" s="49"/>
      <c r="Z175" s="49"/>
      <c r="AA175" s="49"/>
      <c r="AB175" s="49"/>
      <c r="AC175" s="49"/>
      <c r="AD175" s="49"/>
      <c r="AE175" s="49"/>
      <c r="AF175" s="49"/>
      <c r="AG175" s="49"/>
      <c r="AH175" s="49"/>
    </row>
    <row r="176" spans="2:34" s="4" customFormat="1" ht="76.5" x14ac:dyDescent="0.25">
      <c r="B176" s="24" t="s">
        <v>412</v>
      </c>
      <c r="C176" s="13" t="s">
        <v>724</v>
      </c>
      <c r="D176" s="13" t="s">
        <v>413</v>
      </c>
      <c r="E176" s="13" t="s">
        <v>507</v>
      </c>
      <c r="F176" s="13" t="s">
        <v>708</v>
      </c>
      <c r="G176" s="13" t="s">
        <v>508</v>
      </c>
      <c r="H176" s="13" t="s">
        <v>715</v>
      </c>
      <c r="I176" s="13" t="s">
        <v>457</v>
      </c>
      <c r="J176" s="13" t="s">
        <v>47</v>
      </c>
      <c r="K176" s="13" t="s">
        <v>47</v>
      </c>
      <c r="L176" s="31" t="s">
        <v>863</v>
      </c>
      <c r="M176" s="31" t="s">
        <v>864</v>
      </c>
      <c r="N176" s="38">
        <v>20</v>
      </c>
      <c r="O176" s="31"/>
      <c r="P176" s="31"/>
      <c r="Q176" s="31"/>
      <c r="R176" s="31"/>
      <c r="S176" s="31"/>
      <c r="T176" s="31"/>
      <c r="U176" s="31"/>
      <c r="V176" s="31"/>
      <c r="W176" s="42"/>
      <c r="X176" s="49"/>
      <c r="Y176" s="49"/>
      <c r="Z176" s="49"/>
      <c r="AA176" s="49"/>
      <c r="AB176" s="49"/>
      <c r="AC176" s="49"/>
      <c r="AD176" s="49"/>
      <c r="AE176" s="49"/>
      <c r="AF176" s="49"/>
      <c r="AG176" s="49"/>
      <c r="AH176" s="49"/>
    </row>
    <row r="177" spans="2:34" s="4" customFormat="1" ht="38.25" x14ac:dyDescent="0.25">
      <c r="B177" s="8" t="s">
        <v>414</v>
      </c>
      <c r="C177" s="21"/>
      <c r="D177" s="21" t="s">
        <v>415</v>
      </c>
      <c r="E177" s="8"/>
      <c r="F177" s="8"/>
      <c r="G177" s="8"/>
      <c r="H177" s="21"/>
      <c r="I177" s="21"/>
      <c r="J177" s="8"/>
      <c r="K177" s="8"/>
      <c r="L177" s="34"/>
      <c r="M177" s="33"/>
      <c r="N177" s="33"/>
      <c r="O177" s="34"/>
      <c r="P177" s="34"/>
      <c r="Q177" s="34"/>
      <c r="R177" s="33"/>
      <c r="S177" s="33"/>
      <c r="T177" s="34"/>
      <c r="U177" s="34"/>
      <c r="V177" s="34"/>
      <c r="W177" s="139"/>
      <c r="X177" s="49"/>
      <c r="Y177" s="49"/>
      <c r="Z177" s="49"/>
      <c r="AA177" s="49"/>
      <c r="AB177" s="49"/>
      <c r="AC177" s="49"/>
      <c r="AD177" s="49"/>
      <c r="AE177" s="49"/>
      <c r="AF177" s="49"/>
      <c r="AG177" s="49"/>
      <c r="AH177" s="49"/>
    </row>
    <row r="178" spans="2:34" ht="63.75" x14ac:dyDescent="0.25">
      <c r="B178" s="22" t="s">
        <v>416</v>
      </c>
      <c r="C178" s="22"/>
      <c r="D178" s="22" t="s">
        <v>417</v>
      </c>
      <c r="E178" s="22"/>
      <c r="F178" s="22"/>
      <c r="G178" s="22"/>
      <c r="H178" s="22"/>
      <c r="I178" s="22"/>
      <c r="J178" s="22"/>
      <c r="K178" s="22"/>
      <c r="L178" s="35"/>
      <c r="M178" s="35"/>
      <c r="N178" s="35"/>
      <c r="O178" s="35"/>
      <c r="P178" s="35"/>
      <c r="Q178" s="35"/>
      <c r="R178" s="35"/>
      <c r="S178" s="35"/>
      <c r="T178" s="35"/>
      <c r="U178" s="35"/>
      <c r="V178" s="35"/>
      <c r="W178" s="130"/>
    </row>
    <row r="179" spans="2:34" ht="89.25" customHeight="1" x14ac:dyDescent="0.25">
      <c r="B179" s="24" t="s">
        <v>418</v>
      </c>
      <c r="C179" s="24" t="s">
        <v>736</v>
      </c>
      <c r="D179" s="38" t="s">
        <v>419</v>
      </c>
      <c r="E179" s="38" t="s">
        <v>500</v>
      </c>
      <c r="F179" s="38" t="s">
        <v>579</v>
      </c>
      <c r="G179" s="38" t="s">
        <v>501</v>
      </c>
      <c r="H179" s="38" t="s">
        <v>725</v>
      </c>
      <c r="I179" s="38" t="s">
        <v>457</v>
      </c>
      <c r="J179" s="38" t="s">
        <v>458</v>
      </c>
      <c r="K179" s="38" t="s">
        <v>47</v>
      </c>
      <c r="L179" s="38" t="s">
        <v>865</v>
      </c>
      <c r="M179" s="38" t="s">
        <v>866</v>
      </c>
      <c r="N179" s="38">
        <v>1</v>
      </c>
      <c r="O179" s="31"/>
      <c r="P179" s="31"/>
      <c r="Q179" s="31"/>
      <c r="R179" s="31"/>
      <c r="S179" s="31"/>
      <c r="T179" s="31"/>
      <c r="U179" s="31"/>
      <c r="V179" s="31"/>
      <c r="W179" s="42"/>
    </row>
    <row r="180" spans="2:34" s="4" customFormat="1" ht="99.75" customHeight="1" x14ac:dyDescent="0.25">
      <c r="B180" s="24" t="s">
        <v>734</v>
      </c>
      <c r="C180" s="24" t="s">
        <v>737</v>
      </c>
      <c r="D180" s="38" t="s">
        <v>726</v>
      </c>
      <c r="E180" s="38" t="s">
        <v>727</v>
      </c>
      <c r="F180" s="38" t="s">
        <v>579</v>
      </c>
      <c r="G180" s="38" t="s">
        <v>539</v>
      </c>
      <c r="H180" s="38" t="s">
        <v>725</v>
      </c>
      <c r="I180" s="38" t="s">
        <v>457</v>
      </c>
      <c r="J180" s="38" t="s">
        <v>458</v>
      </c>
      <c r="K180" s="38" t="s">
        <v>47</v>
      </c>
      <c r="L180" s="38" t="s">
        <v>865</v>
      </c>
      <c r="M180" s="38" t="s">
        <v>866</v>
      </c>
      <c r="N180" s="38">
        <v>1</v>
      </c>
      <c r="O180" s="31"/>
      <c r="P180" s="31"/>
      <c r="Q180" s="31"/>
      <c r="R180" s="31"/>
      <c r="S180" s="31"/>
      <c r="T180" s="31"/>
      <c r="U180" s="31"/>
      <c r="V180" s="31"/>
      <c r="W180" s="42"/>
      <c r="X180" s="49"/>
      <c r="Y180" s="49"/>
      <c r="Z180" s="49"/>
      <c r="AA180" s="49"/>
      <c r="AB180" s="49"/>
      <c r="AC180" s="49"/>
      <c r="AD180" s="49"/>
      <c r="AE180" s="49"/>
      <c r="AF180" s="49"/>
      <c r="AG180" s="49"/>
      <c r="AH180" s="49"/>
    </row>
    <row r="181" spans="2:34" s="4" customFormat="1" ht="89.25" x14ac:dyDescent="0.25">
      <c r="B181" s="24" t="s">
        <v>422</v>
      </c>
      <c r="C181" s="24" t="s">
        <v>738</v>
      </c>
      <c r="D181" s="38" t="s">
        <v>423</v>
      </c>
      <c r="E181" s="38" t="s">
        <v>468</v>
      </c>
      <c r="F181" s="38" t="s">
        <v>579</v>
      </c>
      <c r="G181" s="38" t="s">
        <v>469</v>
      </c>
      <c r="H181" s="38" t="s">
        <v>725</v>
      </c>
      <c r="I181" s="38" t="s">
        <v>457</v>
      </c>
      <c r="J181" s="38" t="s">
        <v>458</v>
      </c>
      <c r="K181" s="38" t="s">
        <v>47</v>
      </c>
      <c r="L181" s="38" t="s">
        <v>865</v>
      </c>
      <c r="M181" s="38" t="s">
        <v>866</v>
      </c>
      <c r="N181" s="38">
        <v>1</v>
      </c>
      <c r="O181" s="31"/>
      <c r="P181" s="31"/>
      <c r="Q181" s="31"/>
      <c r="R181" s="31"/>
      <c r="S181" s="31"/>
      <c r="T181" s="31"/>
      <c r="U181" s="31"/>
      <c r="V181" s="31"/>
      <c r="W181" s="42"/>
      <c r="X181" s="49"/>
      <c r="Y181" s="49"/>
      <c r="Z181" s="49"/>
      <c r="AA181" s="49"/>
      <c r="AB181" s="49"/>
      <c r="AC181" s="49"/>
      <c r="AD181" s="49"/>
      <c r="AE181" s="49"/>
      <c r="AF181" s="49"/>
      <c r="AG181" s="49"/>
      <c r="AH181" s="49"/>
    </row>
    <row r="182" spans="2:34" s="4" customFormat="1" ht="125.25" customHeight="1" x14ac:dyDescent="0.25">
      <c r="B182" s="24" t="s">
        <v>424</v>
      </c>
      <c r="C182" s="24" t="s">
        <v>739</v>
      </c>
      <c r="D182" s="38" t="s">
        <v>425</v>
      </c>
      <c r="E182" s="38" t="s">
        <v>729</v>
      </c>
      <c r="F182" s="38" t="s">
        <v>579</v>
      </c>
      <c r="G182" s="38" t="s">
        <v>543</v>
      </c>
      <c r="H182" s="38" t="s">
        <v>725</v>
      </c>
      <c r="I182" s="38" t="s">
        <v>457</v>
      </c>
      <c r="J182" s="38" t="s">
        <v>458</v>
      </c>
      <c r="K182" s="38" t="s">
        <v>47</v>
      </c>
      <c r="L182" s="38" t="s">
        <v>865</v>
      </c>
      <c r="M182" s="38" t="s">
        <v>866</v>
      </c>
      <c r="N182" s="38">
        <v>1</v>
      </c>
      <c r="O182" s="31"/>
      <c r="P182" s="31"/>
      <c r="Q182" s="31"/>
      <c r="R182" s="31"/>
      <c r="S182" s="31"/>
      <c r="T182" s="31"/>
      <c r="U182" s="31"/>
      <c r="V182" s="31"/>
      <c r="W182" s="42"/>
      <c r="X182" s="49"/>
      <c r="Y182" s="49"/>
      <c r="Z182" s="49"/>
      <c r="AA182" s="49"/>
      <c r="AB182" s="49"/>
      <c r="AC182" s="49"/>
      <c r="AD182" s="49"/>
      <c r="AE182" s="49"/>
      <c r="AF182" s="49"/>
      <c r="AG182" s="49"/>
      <c r="AH182" s="49"/>
    </row>
    <row r="183" spans="2:34" s="4" customFormat="1" ht="63.75" x14ac:dyDescent="0.25">
      <c r="B183" s="24" t="s">
        <v>735</v>
      </c>
      <c r="C183" s="24" t="s">
        <v>740</v>
      </c>
      <c r="D183" s="38" t="s">
        <v>427</v>
      </c>
      <c r="E183" s="38" t="s">
        <v>730</v>
      </c>
      <c r="F183" s="38" t="s">
        <v>579</v>
      </c>
      <c r="G183" s="38" t="s">
        <v>731</v>
      </c>
      <c r="H183" s="38" t="s">
        <v>725</v>
      </c>
      <c r="I183" s="38" t="s">
        <v>457</v>
      </c>
      <c r="J183" s="38" t="s">
        <v>458</v>
      </c>
      <c r="K183" s="38" t="s">
        <v>47</v>
      </c>
      <c r="L183" s="38" t="s">
        <v>865</v>
      </c>
      <c r="M183" s="38" t="s">
        <v>866</v>
      </c>
      <c r="N183" s="38">
        <v>1</v>
      </c>
      <c r="O183" s="31"/>
      <c r="P183" s="31"/>
      <c r="Q183" s="31"/>
      <c r="R183" s="31"/>
      <c r="S183" s="31"/>
      <c r="T183" s="31"/>
      <c r="U183" s="31"/>
      <c r="V183" s="31"/>
      <c r="W183" s="42"/>
      <c r="X183" s="49"/>
      <c r="Y183" s="49"/>
      <c r="Z183" s="49"/>
      <c r="AA183" s="49"/>
      <c r="AB183" s="49"/>
      <c r="AC183" s="49"/>
      <c r="AD183" s="49"/>
      <c r="AE183" s="49"/>
      <c r="AF183" s="49"/>
      <c r="AG183" s="49"/>
      <c r="AH183" s="49"/>
    </row>
    <row r="184" spans="2:34" s="4" customFormat="1" ht="51" x14ac:dyDescent="0.25">
      <c r="B184" s="24" t="s">
        <v>428</v>
      </c>
      <c r="C184" s="24" t="s">
        <v>741</v>
      </c>
      <c r="D184" s="38" t="s">
        <v>429</v>
      </c>
      <c r="E184" s="38" t="s">
        <v>732</v>
      </c>
      <c r="F184" s="38" t="s">
        <v>579</v>
      </c>
      <c r="G184" s="38" t="s">
        <v>508</v>
      </c>
      <c r="H184" s="38" t="s">
        <v>733</v>
      </c>
      <c r="I184" s="38" t="s">
        <v>457</v>
      </c>
      <c r="J184" s="38" t="s">
        <v>458</v>
      </c>
      <c r="K184" s="38" t="s">
        <v>47</v>
      </c>
      <c r="L184" s="38" t="s">
        <v>865</v>
      </c>
      <c r="M184" s="38" t="s">
        <v>866</v>
      </c>
      <c r="N184" s="38">
        <v>1</v>
      </c>
      <c r="O184" s="31"/>
      <c r="P184" s="31"/>
      <c r="Q184" s="31"/>
      <c r="R184" s="31"/>
      <c r="S184" s="31"/>
      <c r="T184" s="31"/>
      <c r="U184" s="31"/>
      <c r="V184" s="31"/>
      <c r="W184" s="42"/>
      <c r="X184" s="49"/>
      <c r="Y184" s="49"/>
      <c r="Z184" s="49"/>
      <c r="AA184" s="49"/>
      <c r="AB184" s="49"/>
      <c r="AC184" s="49"/>
      <c r="AD184" s="49"/>
      <c r="AE184" s="49"/>
      <c r="AF184" s="49"/>
      <c r="AG184" s="49"/>
      <c r="AH184" s="49"/>
    </row>
    <row r="185" spans="2:34" ht="25.5" x14ac:dyDescent="0.25">
      <c r="B185" s="8" t="s">
        <v>430</v>
      </c>
      <c r="C185" s="21"/>
      <c r="D185" s="21" t="s">
        <v>431</v>
      </c>
      <c r="E185" s="8"/>
      <c r="F185" s="8"/>
      <c r="G185" s="21"/>
      <c r="H185" s="21"/>
      <c r="I185" s="8"/>
      <c r="J185" s="8"/>
      <c r="K185" s="21"/>
      <c r="L185" s="33"/>
      <c r="M185" s="34"/>
      <c r="N185" s="34"/>
      <c r="O185" s="33"/>
      <c r="P185" s="33"/>
      <c r="Q185" s="34"/>
      <c r="R185" s="34"/>
      <c r="S185" s="33"/>
      <c r="T185" s="33"/>
      <c r="U185" s="34"/>
      <c r="V185" s="34"/>
      <c r="W185" s="139"/>
    </row>
    <row r="186" spans="2:34" ht="63.75" x14ac:dyDescent="0.25">
      <c r="B186" s="22" t="s">
        <v>432</v>
      </c>
      <c r="C186" s="22"/>
      <c r="D186" s="22" t="s">
        <v>433</v>
      </c>
      <c r="E186" s="22"/>
      <c r="F186" s="22"/>
      <c r="G186" s="22"/>
      <c r="H186" s="22"/>
      <c r="I186" s="22"/>
      <c r="J186" s="22"/>
      <c r="K186" s="22"/>
      <c r="L186" s="35"/>
      <c r="M186" s="35"/>
      <c r="N186" s="35"/>
      <c r="O186" s="35"/>
      <c r="P186" s="35"/>
      <c r="Q186" s="35"/>
      <c r="R186" s="35"/>
      <c r="S186" s="35"/>
      <c r="T186" s="35"/>
      <c r="U186" s="35"/>
      <c r="V186" s="35"/>
      <c r="W186" s="130"/>
    </row>
    <row r="187" spans="2:34" s="4" customFormat="1" ht="242.25" x14ac:dyDescent="0.25">
      <c r="B187" s="24" t="s">
        <v>434</v>
      </c>
      <c r="C187" s="13" t="s">
        <v>755</v>
      </c>
      <c r="D187" s="13" t="s">
        <v>435</v>
      </c>
      <c r="E187" s="13" t="s">
        <v>503</v>
      </c>
      <c r="F187" s="13" t="s">
        <v>454</v>
      </c>
      <c r="G187" s="13" t="s">
        <v>742</v>
      </c>
      <c r="H187" s="13" t="s">
        <v>743</v>
      </c>
      <c r="I187" s="13" t="s">
        <v>457</v>
      </c>
      <c r="J187" s="13" t="s">
        <v>47</v>
      </c>
      <c r="K187" s="13" t="s">
        <v>47</v>
      </c>
      <c r="L187" s="31" t="s">
        <v>867</v>
      </c>
      <c r="M187" s="31" t="s">
        <v>868</v>
      </c>
      <c r="N187" s="42">
        <v>1</v>
      </c>
      <c r="O187" s="31" t="s">
        <v>869</v>
      </c>
      <c r="P187" s="31" t="s">
        <v>870</v>
      </c>
      <c r="Q187" s="42">
        <v>75</v>
      </c>
      <c r="R187" s="31" t="s">
        <v>871</v>
      </c>
      <c r="S187" s="31" t="s">
        <v>872</v>
      </c>
      <c r="T187" s="38">
        <v>1</v>
      </c>
      <c r="U187" s="31"/>
      <c r="V187" s="31"/>
      <c r="W187" s="42"/>
      <c r="X187" s="49"/>
      <c r="Y187" s="49"/>
      <c r="Z187" s="49"/>
      <c r="AA187" s="49"/>
      <c r="AB187" s="49"/>
      <c r="AC187" s="49"/>
      <c r="AD187" s="49"/>
      <c r="AE187" s="49"/>
      <c r="AF187" s="49"/>
      <c r="AG187" s="49"/>
      <c r="AH187" s="49"/>
    </row>
    <row r="188" spans="2:34" ht="242.25" x14ac:dyDescent="0.25">
      <c r="B188" s="24" t="s">
        <v>436</v>
      </c>
      <c r="C188" s="13" t="s">
        <v>756</v>
      </c>
      <c r="D188" s="31" t="s">
        <v>437</v>
      </c>
      <c r="E188" s="31" t="s">
        <v>468</v>
      </c>
      <c r="F188" s="31" t="s">
        <v>454</v>
      </c>
      <c r="G188" s="31" t="s">
        <v>469</v>
      </c>
      <c r="H188" s="31" t="s">
        <v>743</v>
      </c>
      <c r="I188" s="31" t="s">
        <v>457</v>
      </c>
      <c r="J188" s="31" t="s">
        <v>47</v>
      </c>
      <c r="K188" s="31" t="s">
        <v>47</v>
      </c>
      <c r="L188" s="31" t="s">
        <v>867</v>
      </c>
      <c r="M188" s="31" t="s">
        <v>868</v>
      </c>
      <c r="N188" s="38">
        <v>1</v>
      </c>
      <c r="O188" s="31" t="s">
        <v>869</v>
      </c>
      <c r="P188" s="31" t="s">
        <v>870</v>
      </c>
      <c r="Q188" s="42">
        <v>40</v>
      </c>
      <c r="R188" s="31" t="s">
        <v>871</v>
      </c>
      <c r="S188" s="31" t="s">
        <v>872</v>
      </c>
      <c r="T188" s="31">
        <v>1</v>
      </c>
      <c r="U188" s="31"/>
      <c r="V188" s="31"/>
      <c r="W188" s="42"/>
    </row>
    <row r="189" spans="2:34" s="4" customFormat="1" ht="242.25" x14ac:dyDescent="0.25">
      <c r="B189" s="24" t="s">
        <v>752</v>
      </c>
      <c r="C189" s="24" t="s">
        <v>757</v>
      </c>
      <c r="D189" s="38" t="s">
        <v>439</v>
      </c>
      <c r="E189" s="38" t="s">
        <v>538</v>
      </c>
      <c r="F189" s="38" t="s">
        <v>454</v>
      </c>
      <c r="G189" s="38" t="s">
        <v>539</v>
      </c>
      <c r="H189" s="38" t="s">
        <v>743</v>
      </c>
      <c r="I189" s="38" t="s">
        <v>457</v>
      </c>
      <c r="J189" s="38" t="s">
        <v>47</v>
      </c>
      <c r="K189" s="38" t="s">
        <v>47</v>
      </c>
      <c r="L189" s="38" t="s">
        <v>867</v>
      </c>
      <c r="M189" s="38" t="s">
        <v>868</v>
      </c>
      <c r="N189" s="38">
        <v>13</v>
      </c>
      <c r="O189" s="38" t="s">
        <v>869</v>
      </c>
      <c r="P189" s="38" t="s">
        <v>870</v>
      </c>
      <c r="Q189" s="38">
        <v>25</v>
      </c>
      <c r="R189" s="38" t="s">
        <v>871</v>
      </c>
      <c r="S189" s="38" t="s">
        <v>872</v>
      </c>
      <c r="T189" s="38">
        <v>1</v>
      </c>
      <c r="U189" s="31"/>
      <c r="V189" s="31"/>
      <c r="W189" s="42"/>
      <c r="X189" s="49"/>
      <c r="Y189" s="49"/>
      <c r="Z189" s="49"/>
      <c r="AA189" s="49"/>
      <c r="AB189" s="49"/>
      <c r="AC189" s="49"/>
      <c r="AD189" s="49"/>
      <c r="AE189" s="49"/>
      <c r="AF189" s="49"/>
      <c r="AG189" s="49"/>
      <c r="AH189" s="49"/>
    </row>
    <row r="190" spans="2:34" s="4" customFormat="1" ht="242.25" x14ac:dyDescent="0.25">
      <c r="B190" s="24" t="s">
        <v>440</v>
      </c>
      <c r="C190" s="24" t="s">
        <v>758</v>
      </c>
      <c r="D190" s="38" t="s">
        <v>441</v>
      </c>
      <c r="E190" s="38" t="s">
        <v>744</v>
      </c>
      <c r="F190" s="38" t="s">
        <v>454</v>
      </c>
      <c r="G190" s="38" t="s">
        <v>508</v>
      </c>
      <c r="H190" s="38" t="s">
        <v>745</v>
      </c>
      <c r="I190" s="38" t="s">
        <v>457</v>
      </c>
      <c r="J190" s="38" t="s">
        <v>47</v>
      </c>
      <c r="K190" s="38" t="s">
        <v>47</v>
      </c>
      <c r="L190" s="38" t="s">
        <v>867</v>
      </c>
      <c r="M190" s="38" t="s">
        <v>868</v>
      </c>
      <c r="N190" s="38">
        <v>3</v>
      </c>
      <c r="O190" s="38" t="s">
        <v>869</v>
      </c>
      <c r="P190" s="38" t="s">
        <v>873</v>
      </c>
      <c r="Q190" s="38">
        <v>15</v>
      </c>
      <c r="R190" s="38" t="s">
        <v>292</v>
      </c>
      <c r="S190" s="38"/>
      <c r="T190" s="38"/>
      <c r="U190" s="31"/>
      <c r="V190" s="31"/>
      <c r="W190" s="42"/>
      <c r="X190" s="49"/>
      <c r="Y190" s="49"/>
      <c r="Z190" s="49"/>
      <c r="AA190" s="49"/>
      <c r="AB190" s="49"/>
      <c r="AC190" s="49"/>
      <c r="AD190" s="49"/>
      <c r="AE190" s="49"/>
      <c r="AF190" s="49"/>
      <c r="AG190" s="49"/>
      <c r="AH190" s="49"/>
    </row>
    <row r="191" spans="2:34" s="4" customFormat="1" ht="242.25" x14ac:dyDescent="0.25">
      <c r="B191" s="24" t="s">
        <v>753</v>
      </c>
      <c r="C191" s="13" t="s">
        <v>759</v>
      </c>
      <c r="D191" s="31" t="s">
        <v>443</v>
      </c>
      <c r="E191" s="31" t="s">
        <v>453</v>
      </c>
      <c r="F191" s="31" t="s">
        <v>454</v>
      </c>
      <c r="G191" s="31" t="s">
        <v>746</v>
      </c>
      <c r="H191" s="31" t="s">
        <v>745</v>
      </c>
      <c r="I191" s="31" t="s">
        <v>457</v>
      </c>
      <c r="J191" s="31" t="s">
        <v>47</v>
      </c>
      <c r="K191" s="31" t="s">
        <v>47</v>
      </c>
      <c r="L191" s="31" t="s">
        <v>867</v>
      </c>
      <c r="M191" s="31" t="s">
        <v>868</v>
      </c>
      <c r="N191" s="38">
        <v>2</v>
      </c>
      <c r="O191" s="38" t="s">
        <v>869</v>
      </c>
      <c r="P191" s="38" t="s">
        <v>873</v>
      </c>
      <c r="Q191" s="86">
        <v>36</v>
      </c>
      <c r="R191" s="38" t="s">
        <v>871</v>
      </c>
      <c r="S191" s="38" t="s">
        <v>872</v>
      </c>
      <c r="T191" s="38">
        <v>1</v>
      </c>
      <c r="U191" s="31"/>
      <c r="V191" s="31"/>
      <c r="W191" s="42"/>
      <c r="X191" s="49"/>
      <c r="Y191" s="49"/>
      <c r="Z191" s="49"/>
      <c r="AA191" s="49"/>
      <c r="AB191" s="49"/>
      <c r="AC191" s="49"/>
      <c r="AD191" s="49"/>
      <c r="AE191" s="49"/>
      <c r="AF191" s="49"/>
      <c r="AG191" s="49"/>
      <c r="AH191" s="49"/>
    </row>
    <row r="192" spans="2:34" s="84" customFormat="1" ht="242.25" x14ac:dyDescent="0.25">
      <c r="B192" s="24" t="s">
        <v>754</v>
      </c>
      <c r="C192" s="24" t="s">
        <v>760</v>
      </c>
      <c r="D192" s="38" t="s">
        <v>445</v>
      </c>
      <c r="E192" s="38" t="s">
        <v>500</v>
      </c>
      <c r="F192" s="38" t="s">
        <v>454</v>
      </c>
      <c r="G192" s="38" t="s">
        <v>531</v>
      </c>
      <c r="H192" s="38" t="s">
        <v>745</v>
      </c>
      <c r="I192" s="38" t="s">
        <v>457</v>
      </c>
      <c r="J192" s="38" t="s">
        <v>47</v>
      </c>
      <c r="K192" s="38" t="s">
        <v>47</v>
      </c>
      <c r="L192" s="38" t="s">
        <v>867</v>
      </c>
      <c r="M192" s="38" t="s">
        <v>868</v>
      </c>
      <c r="N192" s="38">
        <v>2</v>
      </c>
      <c r="O192" s="38" t="s">
        <v>869</v>
      </c>
      <c r="P192" s="38" t="s">
        <v>873</v>
      </c>
      <c r="Q192" s="86">
        <v>85</v>
      </c>
      <c r="R192" s="86" t="s">
        <v>871</v>
      </c>
      <c r="S192" s="86" t="s">
        <v>872</v>
      </c>
      <c r="T192" s="86">
        <v>1</v>
      </c>
      <c r="U192" s="86" t="s">
        <v>1095</v>
      </c>
      <c r="V192" s="86" t="s">
        <v>1096</v>
      </c>
      <c r="W192" s="86">
        <v>2</v>
      </c>
      <c r="X192" s="86" t="s">
        <v>1097</v>
      </c>
      <c r="Y192" s="86" t="s">
        <v>1098</v>
      </c>
      <c r="Z192" s="86">
        <v>0.34</v>
      </c>
      <c r="AA192" s="95"/>
      <c r="AB192" s="95"/>
      <c r="AC192" s="95"/>
      <c r="AD192" s="95"/>
      <c r="AE192" s="95"/>
      <c r="AF192" s="95"/>
      <c r="AG192" s="95"/>
      <c r="AH192" s="95"/>
    </row>
    <row r="193" spans="2:23" ht="243" customHeight="1" x14ac:dyDescent="0.25">
      <c r="B193" s="13" t="s">
        <v>446</v>
      </c>
      <c r="C193" s="13" t="s">
        <v>761</v>
      </c>
      <c r="D193" s="31" t="s">
        <v>447</v>
      </c>
      <c r="E193" s="31" t="s">
        <v>744</v>
      </c>
      <c r="F193" s="31" t="s">
        <v>454</v>
      </c>
      <c r="G193" s="31" t="s">
        <v>508</v>
      </c>
      <c r="H193" s="31" t="s">
        <v>745</v>
      </c>
      <c r="I193" s="31" t="s">
        <v>457</v>
      </c>
      <c r="J193" s="31" t="s">
        <v>47</v>
      </c>
      <c r="K193" s="31" t="s">
        <v>47</v>
      </c>
      <c r="L193" s="31" t="s">
        <v>867</v>
      </c>
      <c r="M193" s="31" t="s">
        <v>868</v>
      </c>
      <c r="N193" s="31">
        <v>3</v>
      </c>
      <c r="O193" s="31" t="s">
        <v>869</v>
      </c>
      <c r="P193" s="31" t="s">
        <v>873</v>
      </c>
      <c r="Q193" s="31">
        <v>15</v>
      </c>
      <c r="R193" s="31" t="s">
        <v>292</v>
      </c>
      <c r="S193" s="31"/>
      <c r="T193" s="31"/>
      <c r="U193" s="31"/>
      <c r="V193" s="31"/>
      <c r="W193" s="42"/>
    </row>
    <row r="194" spans="2:23" ht="15.75" x14ac:dyDescent="0.25">
      <c r="B194" s="2" t="s">
        <v>70</v>
      </c>
      <c r="C194" s="4"/>
      <c r="D194" s="4"/>
      <c r="E194" s="4"/>
      <c r="F194" s="4"/>
      <c r="G194" s="4"/>
      <c r="H194" s="4"/>
      <c r="I194" s="4"/>
      <c r="J194" s="4"/>
      <c r="K194" s="4"/>
      <c r="L194" s="4"/>
      <c r="M194" s="4"/>
      <c r="N194" s="4"/>
      <c r="O194" s="4"/>
      <c r="P194" s="4"/>
      <c r="Q194" s="4"/>
      <c r="R194" s="4"/>
      <c r="S194" s="4"/>
      <c r="T194" s="4"/>
      <c r="U194" s="4"/>
      <c r="V194" s="4"/>
    </row>
    <row r="195" spans="2:23" ht="27.75" customHeight="1" x14ac:dyDescent="0.25">
      <c r="B195" s="185"/>
      <c r="C195" s="185"/>
      <c r="D195" s="185"/>
      <c r="E195" s="185"/>
      <c r="F195" s="185"/>
      <c r="G195" s="185"/>
      <c r="H195" s="185"/>
      <c r="I195" s="185"/>
      <c r="J195" s="185"/>
      <c r="K195" s="185"/>
      <c r="L195" s="185"/>
      <c r="M195" s="185"/>
      <c r="N195" s="185"/>
      <c r="O195" s="185"/>
      <c r="P195" s="185"/>
      <c r="Q195" s="185"/>
      <c r="R195" s="185"/>
      <c r="S195" s="185"/>
      <c r="T195" s="185"/>
      <c r="U195" s="185"/>
      <c r="V195" s="185"/>
    </row>
  </sheetData>
  <autoFilter ref="B5:Z194"/>
  <mergeCells count="28">
    <mergeCell ref="B195:V195"/>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 ref="T7:T8"/>
    <mergeCell ref="U7:U8"/>
    <mergeCell ref="W7:W8"/>
    <mergeCell ref="C7:C8"/>
    <mergeCell ref="D7:D8"/>
    <mergeCell ref="E7:E8"/>
    <mergeCell ref="F7:F8"/>
    <mergeCell ref="Q7:Q8"/>
    <mergeCell ref="G7:G8"/>
    <mergeCell ref="H7:H8"/>
    <mergeCell ref="I7:I8"/>
  </mergeCells>
  <pageMargins left="0.7" right="0.7" top="0.75" bottom="0.75" header="0.3" footer="0.3"/>
  <pageSetup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5"/>
  <sheetViews>
    <sheetView topLeftCell="A4" workbookViewId="0">
      <selection activeCell="C70" sqref="C70"/>
    </sheetView>
  </sheetViews>
  <sheetFormatPr defaultRowHeight="15" x14ac:dyDescent="0.25"/>
  <cols>
    <col min="1" max="1" width="4.140625" style="4" customWidth="1"/>
    <col min="3" max="3" width="56" customWidth="1"/>
    <col min="4" max="4" width="49.5703125" customWidth="1"/>
  </cols>
  <sheetData>
    <row r="1" spans="2:7" s="4" customFormat="1" ht="15.75" x14ac:dyDescent="0.25">
      <c r="D1" s="190" t="s">
        <v>141</v>
      </c>
      <c r="E1" s="190"/>
      <c r="F1" s="190"/>
      <c r="G1" s="190"/>
    </row>
    <row r="2" spans="2:7" s="4" customFormat="1" ht="18" customHeight="1" x14ac:dyDescent="0.25">
      <c r="D2" s="191" t="s">
        <v>24</v>
      </c>
      <c r="E2" s="191"/>
      <c r="F2" s="191"/>
      <c r="G2" s="191"/>
    </row>
    <row r="3" spans="2:7" s="4" customFormat="1" ht="15.75" x14ac:dyDescent="0.25">
      <c r="D3" s="191" t="s">
        <v>25</v>
      </c>
      <c r="E3" s="191"/>
      <c r="F3" s="191"/>
      <c r="G3" s="191"/>
    </row>
    <row r="4" spans="2:7" s="4" customFormat="1" x14ac:dyDescent="0.25"/>
    <row r="5" spans="2:7" ht="15.75" x14ac:dyDescent="0.25">
      <c r="B5" s="5" t="s">
        <v>71</v>
      </c>
      <c r="C5" s="4"/>
      <c r="D5" s="4"/>
    </row>
    <row r="6" spans="2:7" ht="15" customHeight="1" x14ac:dyDescent="0.25">
      <c r="B6" s="19" t="s">
        <v>72</v>
      </c>
      <c r="C6" s="19" t="s">
        <v>139</v>
      </c>
      <c r="D6" s="19" t="s">
        <v>140</v>
      </c>
    </row>
    <row r="7" spans="2:7" ht="47.25" x14ac:dyDescent="0.25">
      <c r="B7" s="100" t="s">
        <v>795</v>
      </c>
      <c r="C7" s="57" t="s">
        <v>798</v>
      </c>
      <c r="D7" s="48">
        <f>'3 lentelė'!AE15</f>
        <v>7400</v>
      </c>
      <c r="F7" s="41"/>
    </row>
    <row r="8" spans="2:7" ht="15.75" x14ac:dyDescent="0.25">
      <c r="B8" s="100" t="s">
        <v>778</v>
      </c>
      <c r="C8" s="100" t="s">
        <v>779</v>
      </c>
      <c r="D8" s="117">
        <f>'3 lentelė'!AE16</f>
        <v>6.7720000000000002</v>
      </c>
      <c r="E8" s="84"/>
      <c r="F8" s="41"/>
    </row>
    <row r="9" spans="2:7" ht="31.5" x14ac:dyDescent="0.25">
      <c r="B9" s="100" t="s">
        <v>840</v>
      </c>
      <c r="C9" s="100" t="s">
        <v>841</v>
      </c>
      <c r="D9" s="48">
        <f>'3 lentelė'!AE14</f>
        <v>2292</v>
      </c>
      <c r="E9" s="84"/>
      <c r="F9" s="41"/>
    </row>
    <row r="10" spans="2:7" s="84" customFormat="1" ht="15.75" x14ac:dyDescent="0.25">
      <c r="B10" s="100" t="s">
        <v>762</v>
      </c>
      <c r="C10" s="100" t="s">
        <v>904</v>
      </c>
      <c r="D10" s="101">
        <f>'3 lentelė'!AE13</f>
        <v>848944.7</v>
      </c>
      <c r="F10" s="92"/>
    </row>
    <row r="11" spans="2:7" s="84" customFormat="1" ht="31.5" x14ac:dyDescent="0.25">
      <c r="B11" s="100" t="s">
        <v>764</v>
      </c>
      <c r="C11" s="100" t="s">
        <v>905</v>
      </c>
      <c r="D11" s="101">
        <f>'3 lentelė'!AE18</f>
        <v>1930</v>
      </c>
      <c r="F11" s="92"/>
    </row>
    <row r="12" spans="2:7" s="84" customFormat="1" ht="31.5" x14ac:dyDescent="0.25">
      <c r="B12" s="100" t="s">
        <v>816</v>
      </c>
      <c r="C12" s="100" t="s">
        <v>817</v>
      </c>
      <c r="D12" s="101">
        <f>'3 lentelė'!AE19</f>
        <v>20.25</v>
      </c>
      <c r="F12" s="92"/>
    </row>
    <row r="13" spans="2:7" s="84" customFormat="1" ht="31.5" x14ac:dyDescent="0.25">
      <c r="B13" s="100" t="s">
        <v>803</v>
      </c>
      <c r="C13" s="100" t="s">
        <v>812</v>
      </c>
      <c r="D13" s="101">
        <f>'3 lentelė'!AE20</f>
        <v>1531</v>
      </c>
      <c r="F13" s="92"/>
    </row>
    <row r="14" spans="2:7" s="84" customFormat="1" ht="47.25" x14ac:dyDescent="0.25">
      <c r="B14" s="100" t="s">
        <v>805</v>
      </c>
      <c r="C14" s="100" t="s">
        <v>906</v>
      </c>
      <c r="D14" s="101">
        <f>'3 lentelė'!AE21</f>
        <v>1451</v>
      </c>
      <c r="F14" s="92"/>
    </row>
    <row r="15" spans="2:7" s="84" customFormat="1" ht="31.5" x14ac:dyDescent="0.25">
      <c r="B15" s="100" t="s">
        <v>807</v>
      </c>
      <c r="C15" s="100" t="s">
        <v>907</v>
      </c>
      <c r="D15" s="101">
        <f>'3 lentelė'!AE22</f>
        <v>2236</v>
      </c>
      <c r="F15" s="92"/>
    </row>
    <row r="16" spans="2:7" s="84" customFormat="1" ht="47.25" x14ac:dyDescent="0.25">
      <c r="B16" s="100" t="s">
        <v>809</v>
      </c>
      <c r="C16" s="100" t="s">
        <v>811</v>
      </c>
      <c r="D16" s="101">
        <f>'3 lentelė'!AE23</f>
        <v>828</v>
      </c>
      <c r="F16" s="92"/>
    </row>
    <row r="17" spans="2:6" s="84" customFormat="1" ht="47.25" x14ac:dyDescent="0.25">
      <c r="B17" s="100" t="s">
        <v>824</v>
      </c>
      <c r="C17" s="100" t="s">
        <v>908</v>
      </c>
      <c r="D17" s="101">
        <f>'3 lentelė'!AE24</f>
        <v>5</v>
      </c>
      <c r="F17" s="92"/>
    </row>
    <row r="18" spans="2:6" s="84" customFormat="1" ht="31.5" x14ac:dyDescent="0.25">
      <c r="B18" s="100" t="s">
        <v>826</v>
      </c>
      <c r="C18" s="100" t="s">
        <v>827</v>
      </c>
      <c r="D18" s="101">
        <f>'3 lentelė'!AE25</f>
        <v>163</v>
      </c>
      <c r="F18" s="92"/>
    </row>
    <row r="19" spans="2:6" s="84" customFormat="1" ht="15.75" customHeight="1" x14ac:dyDescent="0.25">
      <c r="B19" s="100" t="s">
        <v>865</v>
      </c>
      <c r="C19" s="100" t="s">
        <v>909</v>
      </c>
      <c r="D19" s="101">
        <f>'3 lentelė'!AE26</f>
        <v>6</v>
      </c>
      <c r="F19" s="92"/>
    </row>
    <row r="20" spans="2:6" s="84" customFormat="1" ht="31.5" customHeight="1" x14ac:dyDescent="0.25">
      <c r="B20" s="100" t="s">
        <v>859</v>
      </c>
      <c r="C20" s="100" t="s">
        <v>860</v>
      </c>
      <c r="D20" s="101">
        <f>'3 lentelė'!AE27</f>
        <v>136</v>
      </c>
      <c r="F20" s="92"/>
    </row>
    <row r="21" spans="2:6" s="84" customFormat="1" ht="15.75" customHeight="1" x14ac:dyDescent="0.25">
      <c r="B21" s="100" t="s">
        <v>789</v>
      </c>
      <c r="C21" s="100" t="s">
        <v>910</v>
      </c>
      <c r="D21" s="101">
        <f>'3 lentelė'!AE28</f>
        <v>2</v>
      </c>
      <c r="F21" s="92"/>
    </row>
    <row r="22" spans="2:6" s="84" customFormat="1" ht="15.75" customHeight="1" x14ac:dyDescent="0.25">
      <c r="B22" s="100" t="s">
        <v>773</v>
      </c>
      <c r="C22" s="100" t="s">
        <v>911</v>
      </c>
      <c r="D22" s="142">
        <f>'3 lentelė'!AE29</f>
        <v>0.58299999999999996</v>
      </c>
      <c r="F22" s="92"/>
    </row>
    <row r="23" spans="2:6" s="84" customFormat="1" ht="15.75" customHeight="1" x14ac:dyDescent="0.25">
      <c r="B23" s="100" t="s">
        <v>850</v>
      </c>
      <c r="C23" s="100" t="s">
        <v>851</v>
      </c>
      <c r="D23" s="101">
        <f>'3 lentelė'!AE30</f>
        <v>1</v>
      </c>
      <c r="F23" s="92"/>
    </row>
    <row r="24" spans="2:6" s="84" customFormat="1" ht="31.5" customHeight="1" x14ac:dyDescent="0.25">
      <c r="B24" s="100" t="s">
        <v>836</v>
      </c>
      <c r="C24" s="100" t="s">
        <v>912</v>
      </c>
      <c r="D24" s="101">
        <f>'3 lentelė'!AE31</f>
        <v>1</v>
      </c>
      <c r="F24" s="92"/>
    </row>
    <row r="25" spans="2:6" s="84" customFormat="1" ht="31.5" customHeight="1" x14ac:dyDescent="0.25">
      <c r="B25" s="100" t="s">
        <v>842</v>
      </c>
      <c r="C25" s="100" t="s">
        <v>913</v>
      </c>
      <c r="D25" s="101">
        <f>'3 lentelė'!AE32</f>
        <v>3</v>
      </c>
      <c r="F25" s="92"/>
    </row>
    <row r="26" spans="2:6" s="84" customFormat="1" ht="31.5" customHeight="1" x14ac:dyDescent="0.25">
      <c r="B26" s="100" t="s">
        <v>844</v>
      </c>
      <c r="C26" s="100" t="s">
        <v>845</v>
      </c>
      <c r="D26" s="101">
        <f>'3 lentelė'!AE33</f>
        <v>2</v>
      </c>
      <c r="F26" s="92"/>
    </row>
    <row r="27" spans="2:6" s="84" customFormat="1" ht="15.75" customHeight="1" x14ac:dyDescent="0.25">
      <c r="B27" s="100" t="s">
        <v>799</v>
      </c>
      <c r="C27" s="100" t="s">
        <v>800</v>
      </c>
      <c r="D27" s="101">
        <f>'3 lentelė'!AE34</f>
        <v>213</v>
      </c>
      <c r="F27" s="92"/>
    </row>
    <row r="28" spans="2:6" s="84" customFormat="1" ht="15.75" customHeight="1" x14ac:dyDescent="0.25">
      <c r="B28" s="100" t="s">
        <v>914</v>
      </c>
      <c r="C28" s="100" t="s">
        <v>872</v>
      </c>
      <c r="D28" s="101">
        <f>'3 lentelė'!AE35</f>
        <v>5</v>
      </c>
      <c r="F28" s="92"/>
    </row>
    <row r="29" spans="2:6" s="84" customFormat="1" ht="31.5" customHeight="1" x14ac:dyDescent="0.25">
      <c r="B29" s="100" t="s">
        <v>915</v>
      </c>
      <c r="C29" s="100" t="s">
        <v>916</v>
      </c>
      <c r="D29" s="101">
        <f>'3 lentelė'!AE36</f>
        <v>0</v>
      </c>
      <c r="F29" s="92"/>
    </row>
    <row r="30" spans="2:6" s="84" customFormat="1" ht="31.5" customHeight="1" x14ac:dyDescent="0.25">
      <c r="B30" s="100" t="s">
        <v>781</v>
      </c>
      <c r="C30" s="100" t="s">
        <v>782</v>
      </c>
      <c r="D30" s="101">
        <f>'3 lentelė'!AE37</f>
        <v>1.61</v>
      </c>
      <c r="F30" s="92"/>
    </row>
    <row r="31" spans="2:6" s="84" customFormat="1" ht="15.75" customHeight="1" x14ac:dyDescent="0.25">
      <c r="B31" s="100" t="s">
        <v>917</v>
      </c>
      <c r="C31" s="100" t="s">
        <v>785</v>
      </c>
      <c r="D31" s="101">
        <f>'3 lentelė'!AE38</f>
        <v>1.6600000000000001</v>
      </c>
      <c r="F31" s="92"/>
    </row>
    <row r="32" spans="2:6" s="84" customFormat="1" ht="15.75" customHeight="1" x14ac:dyDescent="0.25">
      <c r="B32" s="100" t="s">
        <v>918</v>
      </c>
      <c r="C32" s="100" t="s">
        <v>919</v>
      </c>
      <c r="D32" s="101">
        <f>'3 lentelė'!AE39</f>
        <v>3</v>
      </c>
      <c r="F32" s="92"/>
    </row>
    <row r="33" spans="2:6" s="84" customFormat="1" ht="31.5" x14ac:dyDescent="0.25">
      <c r="B33" s="100" t="s">
        <v>791</v>
      </c>
      <c r="C33" s="100" t="s">
        <v>920</v>
      </c>
      <c r="D33" s="101">
        <f>'3 lentelė'!AE40</f>
        <v>4</v>
      </c>
      <c r="F33" s="92"/>
    </row>
    <row r="34" spans="2:6" s="84" customFormat="1" ht="47.25" x14ac:dyDescent="0.25">
      <c r="B34" s="100" t="s">
        <v>814</v>
      </c>
      <c r="C34" s="100" t="s">
        <v>815</v>
      </c>
      <c r="D34" s="101">
        <f>'3 lentelė'!AE41</f>
        <v>124.5</v>
      </c>
      <c r="F34" s="92"/>
    </row>
    <row r="35" spans="2:6" s="84" customFormat="1" ht="31.5" x14ac:dyDescent="0.25">
      <c r="B35" s="100" t="s">
        <v>819</v>
      </c>
      <c r="C35" s="100" t="s">
        <v>823</v>
      </c>
      <c r="D35" s="101">
        <f>'3 lentelė'!AE42</f>
        <v>7708.75</v>
      </c>
      <c r="F35" s="92"/>
    </row>
    <row r="36" spans="2:6" s="84" customFormat="1" ht="31.5" x14ac:dyDescent="0.25">
      <c r="B36" s="100" t="s">
        <v>801</v>
      </c>
      <c r="C36" s="100" t="s">
        <v>802</v>
      </c>
      <c r="D36" s="101">
        <f>'3 lentelė'!AE43</f>
        <v>28.586999999999996</v>
      </c>
      <c r="F36" s="92"/>
    </row>
    <row r="37" spans="2:6" s="84" customFormat="1" ht="31.5" x14ac:dyDescent="0.25">
      <c r="B37" s="100" t="s">
        <v>793</v>
      </c>
      <c r="C37" s="100" t="s">
        <v>797</v>
      </c>
      <c r="D37" s="101">
        <f>'3 lentelė'!AE44</f>
        <v>4</v>
      </c>
      <c r="F37" s="92"/>
    </row>
    <row r="38" spans="2:6" s="84" customFormat="1" ht="31.5" x14ac:dyDescent="0.25">
      <c r="B38" s="100" t="s">
        <v>830</v>
      </c>
      <c r="C38" s="100" t="s">
        <v>832</v>
      </c>
      <c r="D38" s="101">
        <f>'3 lentelė'!AE45</f>
        <v>6</v>
      </c>
      <c r="F38" s="92"/>
    </row>
    <row r="39" spans="2:6" s="84" customFormat="1" ht="31.5" x14ac:dyDescent="0.25">
      <c r="B39" s="100" t="s">
        <v>776</v>
      </c>
      <c r="C39" s="100" t="s">
        <v>777</v>
      </c>
      <c r="D39" s="101">
        <f>'3 lentelė'!AE46</f>
        <v>13</v>
      </c>
      <c r="F39" s="92"/>
    </row>
    <row r="40" spans="2:6" s="84" customFormat="1" ht="15.75" x14ac:dyDescent="0.25">
      <c r="B40" s="100" t="s">
        <v>857</v>
      </c>
      <c r="C40" s="100" t="s">
        <v>921</v>
      </c>
      <c r="D40" s="101">
        <f>'3 lentelė'!AE47</f>
        <v>4</v>
      </c>
      <c r="F40" s="92"/>
    </row>
    <row r="41" spans="2:6" s="84" customFormat="1" ht="15.75" x14ac:dyDescent="0.25">
      <c r="B41" s="100" t="s">
        <v>863</v>
      </c>
      <c r="C41" s="100" t="s">
        <v>864</v>
      </c>
      <c r="D41" s="101">
        <f>'3 lentelė'!AE53</f>
        <v>135</v>
      </c>
      <c r="F41" s="92"/>
    </row>
    <row r="42" spans="2:6" s="84" customFormat="1" ht="31.5" x14ac:dyDescent="0.25">
      <c r="B42" s="100" t="s">
        <v>769</v>
      </c>
      <c r="C42" s="100" t="s">
        <v>770</v>
      </c>
      <c r="D42" s="101">
        <f>'3 lentelė'!AE54</f>
        <v>34503</v>
      </c>
      <c r="F42" s="92"/>
    </row>
    <row r="43" spans="2:6" s="84" customFormat="1" ht="31.5" x14ac:dyDescent="0.25">
      <c r="B43" s="100" t="s">
        <v>771</v>
      </c>
      <c r="C43" s="100" t="s">
        <v>772</v>
      </c>
      <c r="D43" s="101">
        <f>'3 lentelė'!AE55</f>
        <v>81</v>
      </c>
      <c r="F43" s="92"/>
    </row>
    <row r="44" spans="2:6" s="84" customFormat="1" ht="47.25" x14ac:dyDescent="0.25">
      <c r="B44" s="100" t="s">
        <v>848</v>
      </c>
      <c r="C44" s="100" t="s">
        <v>922</v>
      </c>
      <c r="D44" s="101">
        <f>'3 lentelė'!AE56</f>
        <v>8875</v>
      </c>
      <c r="F44" s="92"/>
    </row>
    <row r="45" spans="2:6" s="84" customFormat="1" ht="47.25" x14ac:dyDescent="0.25">
      <c r="B45" s="100" t="s">
        <v>923</v>
      </c>
      <c r="C45" s="100" t="s">
        <v>924</v>
      </c>
      <c r="D45" s="101">
        <f>'3 lentelė'!AE57</f>
        <v>0</v>
      </c>
      <c r="F45" s="92"/>
    </row>
    <row r="46" spans="2:6" s="84" customFormat="1" ht="47.25" x14ac:dyDescent="0.25">
      <c r="B46" s="100" t="s">
        <v>867</v>
      </c>
      <c r="C46" s="100" t="s">
        <v>868</v>
      </c>
      <c r="D46" s="101">
        <f>'3 lentelė'!AE58</f>
        <v>25</v>
      </c>
      <c r="F46" s="92"/>
    </row>
    <row r="47" spans="2:6" s="84" customFormat="1" ht="63" x14ac:dyDescent="0.25">
      <c r="B47" s="100" t="s">
        <v>869</v>
      </c>
      <c r="C47" s="100" t="s">
        <v>873</v>
      </c>
      <c r="D47" s="101">
        <f>'3 lentelė'!AE59</f>
        <v>291</v>
      </c>
      <c r="F47" s="92"/>
    </row>
    <row r="48" spans="2:6" s="84" customFormat="1" ht="31.5" x14ac:dyDescent="0.25">
      <c r="B48" s="100" t="s">
        <v>828</v>
      </c>
      <c r="C48" s="100" t="s">
        <v>829</v>
      </c>
      <c r="D48" s="101">
        <f>'3 lentelė'!AE60</f>
        <v>112.79</v>
      </c>
      <c r="F48" s="92"/>
    </row>
    <row r="49" spans="2:6" ht="31.5" x14ac:dyDescent="0.25">
      <c r="B49" s="100" t="s">
        <v>861</v>
      </c>
      <c r="C49" s="57" t="s">
        <v>862</v>
      </c>
      <c r="D49" s="101">
        <f>'3 lentelė'!AE61</f>
        <v>98</v>
      </c>
      <c r="E49" s="84"/>
      <c r="F49" s="41"/>
    </row>
    <row r="50" spans="2:6" ht="31.5" x14ac:dyDescent="0.25">
      <c r="B50" s="100" t="s">
        <v>775</v>
      </c>
      <c r="C50" s="57" t="s">
        <v>925</v>
      </c>
      <c r="D50" s="100">
        <f>'3 lentelė'!AE62</f>
        <v>0</v>
      </c>
      <c r="E50" s="84"/>
      <c r="F50" s="41"/>
    </row>
    <row r="51" spans="2:6" ht="31.5" x14ac:dyDescent="0.25">
      <c r="B51" s="100" t="s">
        <v>838</v>
      </c>
      <c r="C51" s="57" t="s">
        <v>839</v>
      </c>
      <c r="D51" s="100">
        <f>'3 lentelė'!AE63</f>
        <v>4</v>
      </c>
      <c r="E51" s="84"/>
      <c r="F51" s="41"/>
    </row>
    <row r="52" spans="2:6" ht="15.75" x14ac:dyDescent="0.25">
      <c r="B52" s="100" t="s">
        <v>833</v>
      </c>
      <c r="C52" s="57" t="s">
        <v>834</v>
      </c>
      <c r="D52" s="100">
        <f>'3 lentelė'!AE64</f>
        <v>2</v>
      </c>
      <c r="E52" s="84"/>
      <c r="F52" s="41"/>
    </row>
    <row r="53" spans="2:6" ht="63" x14ac:dyDescent="0.25">
      <c r="B53" s="100" t="s">
        <v>846</v>
      </c>
      <c r="C53" s="57" t="s">
        <v>937</v>
      </c>
      <c r="D53" s="100">
        <v>101</v>
      </c>
      <c r="E53" s="84"/>
      <c r="F53" s="41"/>
    </row>
    <row r="54" spans="2:6" ht="15.75" x14ac:dyDescent="0.25">
      <c r="B54" s="100" t="s">
        <v>935</v>
      </c>
      <c r="C54" s="57" t="s">
        <v>936</v>
      </c>
      <c r="D54" s="101">
        <f>'3 lentelė'!AE66</f>
        <v>9</v>
      </c>
      <c r="E54" s="84"/>
    </row>
    <row r="55" spans="2:6" ht="31.5" x14ac:dyDescent="0.25">
      <c r="B55" s="100" t="s">
        <v>982</v>
      </c>
      <c r="C55" s="57" t="s">
        <v>983</v>
      </c>
      <c r="D55" s="101">
        <f>'3 lentelė'!AE67</f>
        <v>88870</v>
      </c>
      <c r="E55" s="84"/>
    </row>
    <row r="56" spans="2:6" ht="47.25" x14ac:dyDescent="0.25">
      <c r="B56" s="100" t="s">
        <v>984</v>
      </c>
      <c r="C56" s="57" t="s">
        <v>985</v>
      </c>
      <c r="D56" s="101">
        <f>'3 lentelė'!AE68</f>
        <v>8</v>
      </c>
      <c r="E56" s="84"/>
    </row>
    <row r="57" spans="2:6" ht="31.5" x14ac:dyDescent="0.25">
      <c r="B57" s="100" t="s">
        <v>1082</v>
      </c>
      <c r="C57" s="57" t="s">
        <v>1044</v>
      </c>
      <c r="D57" s="100">
        <f>'3 lentelė'!W128</f>
        <v>0</v>
      </c>
    </row>
    <row r="58" spans="2:6" ht="15.75" x14ac:dyDescent="0.25">
      <c r="B58" s="100" t="s">
        <v>1093</v>
      </c>
      <c r="C58" s="100" t="s">
        <v>1094</v>
      </c>
      <c r="D58" s="100">
        <v>200</v>
      </c>
    </row>
    <row r="59" spans="2:6" ht="31.5" x14ac:dyDescent="0.25">
      <c r="B59" s="100" t="s">
        <v>1095</v>
      </c>
      <c r="C59" s="100" t="s">
        <v>1096</v>
      </c>
      <c r="D59" s="100">
        <f>'3 lentelė'!W192</f>
        <v>2</v>
      </c>
    </row>
    <row r="60" spans="2:6" ht="47.25" x14ac:dyDescent="0.25">
      <c r="B60" s="100" t="s">
        <v>1097</v>
      </c>
      <c r="C60" s="100" t="s">
        <v>1098</v>
      </c>
      <c r="D60" s="100">
        <f>'3 lentelė'!Z192</f>
        <v>0.34</v>
      </c>
    </row>
    <row r="61" spans="2:6" ht="15.75" x14ac:dyDescent="0.25">
      <c r="B61" s="39"/>
      <c r="C61" s="39"/>
      <c r="D61" s="39"/>
    </row>
    <row r="62" spans="2:6" ht="15.75" x14ac:dyDescent="0.25">
      <c r="B62" s="39"/>
      <c r="C62" s="39"/>
      <c r="D62" s="39"/>
    </row>
    <row r="63" spans="2:6" ht="15.75" x14ac:dyDescent="0.25">
      <c r="B63" s="39"/>
      <c r="C63" s="39"/>
      <c r="D63" s="39"/>
    </row>
    <row r="64" spans="2:6" ht="15.75" x14ac:dyDescent="0.25">
      <c r="B64" s="39"/>
      <c r="C64" s="39"/>
      <c r="D64" s="39"/>
    </row>
    <row r="65" spans="2:4" ht="15.75" x14ac:dyDescent="0.25">
      <c r="B65" s="39"/>
      <c r="C65" s="39"/>
      <c r="D65" s="39"/>
    </row>
    <row r="66" spans="2:4" ht="15.75" x14ac:dyDescent="0.25">
      <c r="B66" s="39"/>
      <c r="C66" s="39"/>
      <c r="D66" s="39"/>
    </row>
    <row r="67" spans="2:4" ht="15.75" x14ac:dyDescent="0.25">
      <c r="B67" s="39"/>
      <c r="C67" s="39"/>
      <c r="D67" s="39"/>
    </row>
    <row r="68" spans="2:4" ht="15.75" x14ac:dyDescent="0.25">
      <c r="B68" s="39"/>
      <c r="C68" s="39"/>
      <c r="D68" s="39"/>
    </row>
    <row r="69" spans="2:4" ht="15.75" x14ac:dyDescent="0.25">
      <c r="B69" s="39"/>
      <c r="C69" s="39"/>
      <c r="D69" s="39"/>
    </row>
    <row r="70" spans="2:4" ht="15.75" x14ac:dyDescent="0.25">
      <c r="B70" s="39"/>
      <c r="C70" s="39"/>
      <c r="D70" s="39"/>
    </row>
    <row r="71" spans="2:4" ht="15.75" x14ac:dyDescent="0.25">
      <c r="B71" s="39"/>
      <c r="C71" s="39"/>
      <c r="D71" s="39"/>
    </row>
    <row r="72" spans="2:4" ht="15.75" x14ac:dyDescent="0.25">
      <c r="B72" s="39"/>
      <c r="C72" s="39"/>
      <c r="D72" s="39"/>
    </row>
    <row r="73" spans="2:4" ht="15.75" x14ac:dyDescent="0.25">
      <c r="B73" s="39"/>
      <c r="C73" s="39"/>
      <c r="D73" s="39"/>
    </row>
    <row r="74" spans="2:4" ht="15.75" x14ac:dyDescent="0.25">
      <c r="B74" s="39"/>
      <c r="C74" s="39"/>
      <c r="D74" s="39"/>
    </row>
    <row r="75" spans="2:4" ht="15.75" x14ac:dyDescent="0.25">
      <c r="B75" s="39"/>
      <c r="C75" s="39"/>
      <c r="D75" s="39"/>
    </row>
    <row r="76" spans="2:4" ht="15.75" x14ac:dyDescent="0.25">
      <c r="B76" s="39"/>
      <c r="C76" s="39"/>
      <c r="D76" s="39"/>
    </row>
    <row r="77" spans="2:4" ht="15.75" x14ac:dyDescent="0.25">
      <c r="B77" s="39"/>
      <c r="C77" s="39"/>
      <c r="D77" s="39"/>
    </row>
    <row r="78" spans="2:4" ht="15.75" x14ac:dyDescent="0.25">
      <c r="B78" s="39"/>
      <c r="C78" s="39"/>
      <c r="D78" s="39"/>
    </row>
    <row r="79" spans="2:4" ht="15.75" x14ac:dyDescent="0.25">
      <c r="B79" s="39"/>
      <c r="C79" s="39"/>
      <c r="D79" s="39"/>
    </row>
    <row r="80" spans="2:4" ht="15.75" x14ac:dyDescent="0.25">
      <c r="B80" s="39"/>
      <c r="C80" s="39"/>
      <c r="D80" s="39"/>
    </row>
    <row r="81" spans="2:4" ht="15.75" x14ac:dyDescent="0.25">
      <c r="B81" s="39"/>
      <c r="C81" s="39"/>
      <c r="D81" s="39"/>
    </row>
    <row r="82" spans="2:4" ht="15.75" x14ac:dyDescent="0.25">
      <c r="B82" s="39"/>
      <c r="C82" s="39"/>
      <c r="D82" s="39"/>
    </row>
    <row r="83" spans="2:4" ht="15.75" x14ac:dyDescent="0.25">
      <c r="B83" s="39"/>
      <c r="C83" s="39"/>
      <c r="D83" s="39"/>
    </row>
    <row r="84" spans="2:4" ht="15.75" x14ac:dyDescent="0.25">
      <c r="B84" s="39"/>
      <c r="C84" s="39"/>
      <c r="D84" s="39"/>
    </row>
    <row r="85" spans="2:4" ht="15.75" x14ac:dyDescent="0.25">
      <c r="B85" s="39"/>
      <c r="C85" s="39"/>
      <c r="D85" s="39"/>
    </row>
    <row r="86" spans="2:4" ht="15.75" x14ac:dyDescent="0.25">
      <c r="B86" s="39"/>
      <c r="C86" s="39"/>
      <c r="D86" s="39"/>
    </row>
    <row r="87" spans="2:4" ht="15.75" x14ac:dyDescent="0.25">
      <c r="B87" s="39"/>
      <c r="C87" s="39"/>
      <c r="D87" s="39"/>
    </row>
    <row r="88" spans="2:4" ht="15.75" x14ac:dyDescent="0.25">
      <c r="B88" s="39"/>
      <c r="C88" s="39"/>
      <c r="D88" s="39"/>
    </row>
    <row r="89" spans="2:4" ht="15.75" x14ac:dyDescent="0.25">
      <c r="B89" s="39"/>
      <c r="C89" s="39"/>
      <c r="D89" s="39"/>
    </row>
    <row r="90" spans="2:4" ht="15.75" x14ac:dyDescent="0.25">
      <c r="B90" s="39"/>
      <c r="C90" s="39"/>
      <c r="D90" s="39"/>
    </row>
    <row r="91" spans="2:4" ht="15.75" x14ac:dyDescent="0.25">
      <c r="B91" s="39"/>
      <c r="C91" s="39"/>
      <c r="D91" s="39"/>
    </row>
    <row r="92" spans="2:4" ht="15.75" x14ac:dyDescent="0.25">
      <c r="B92" s="39"/>
      <c r="C92" s="39"/>
      <c r="D92" s="39"/>
    </row>
    <row r="93" spans="2:4" ht="15.75" x14ac:dyDescent="0.25">
      <c r="B93" s="39"/>
      <c r="C93" s="39"/>
      <c r="D93" s="39"/>
    </row>
    <row r="94" spans="2:4" ht="15.75" x14ac:dyDescent="0.25">
      <c r="B94" s="39"/>
      <c r="C94" s="39"/>
      <c r="D94" s="39"/>
    </row>
    <row r="95" spans="2:4" ht="15.75" x14ac:dyDescent="0.25">
      <c r="B95" s="39"/>
      <c r="C95" s="39"/>
      <c r="D95" s="39"/>
    </row>
    <row r="96" spans="2:4" ht="15.75" x14ac:dyDescent="0.25">
      <c r="B96" s="39"/>
      <c r="C96" s="39"/>
      <c r="D96" s="39"/>
    </row>
    <row r="97" spans="2:4" ht="15.75" x14ac:dyDescent="0.25">
      <c r="B97" s="39"/>
      <c r="C97" s="39"/>
      <c r="D97" s="39"/>
    </row>
    <row r="98" spans="2:4" ht="15.75" x14ac:dyDescent="0.25">
      <c r="B98" s="39"/>
      <c r="C98" s="39"/>
      <c r="D98" s="39"/>
    </row>
    <row r="99" spans="2:4" ht="15.75" x14ac:dyDescent="0.25">
      <c r="B99" s="39"/>
      <c r="C99" s="39"/>
      <c r="D99" s="39"/>
    </row>
    <row r="100" spans="2:4" ht="15.75" x14ac:dyDescent="0.25">
      <c r="B100" s="39"/>
      <c r="C100" s="39"/>
      <c r="D100" s="39"/>
    </row>
    <row r="101" spans="2:4" ht="15.75" x14ac:dyDescent="0.25">
      <c r="B101" s="39"/>
      <c r="C101" s="39"/>
      <c r="D101" s="39"/>
    </row>
    <row r="102" spans="2:4" ht="15.75" x14ac:dyDescent="0.25">
      <c r="B102" s="39"/>
      <c r="C102" s="39"/>
      <c r="D102" s="39"/>
    </row>
    <row r="103" spans="2:4" ht="15.75" x14ac:dyDescent="0.25">
      <c r="B103" s="39"/>
      <c r="C103" s="39"/>
      <c r="D103" s="39"/>
    </row>
    <row r="104" spans="2:4" ht="15.75" x14ac:dyDescent="0.25">
      <c r="B104" s="39"/>
      <c r="C104" s="39"/>
      <c r="D104" s="39"/>
    </row>
    <row r="105" spans="2:4" ht="15.75" x14ac:dyDescent="0.25">
      <c r="B105" s="39"/>
      <c r="C105" s="39"/>
      <c r="D105" s="39"/>
    </row>
    <row r="106" spans="2:4" ht="15.75" x14ac:dyDescent="0.25">
      <c r="B106" s="39"/>
      <c r="C106" s="39"/>
      <c r="D106" s="39"/>
    </row>
    <row r="107" spans="2:4" ht="15.75" x14ac:dyDescent="0.25">
      <c r="B107" s="39"/>
      <c r="C107" s="39"/>
      <c r="D107" s="39"/>
    </row>
    <row r="108" spans="2:4" ht="15.75" x14ac:dyDescent="0.25">
      <c r="B108" s="39"/>
      <c r="C108" s="39"/>
      <c r="D108" s="39"/>
    </row>
    <row r="109" spans="2:4" ht="15.75" x14ac:dyDescent="0.25">
      <c r="B109" s="39"/>
      <c r="C109" s="39"/>
      <c r="D109" s="39"/>
    </row>
    <row r="110" spans="2:4" ht="15.75" x14ac:dyDescent="0.25">
      <c r="B110" s="39"/>
      <c r="C110" s="39"/>
      <c r="D110" s="39"/>
    </row>
    <row r="111" spans="2:4" ht="15.75" x14ac:dyDescent="0.25">
      <c r="B111" s="39"/>
      <c r="C111" s="39"/>
      <c r="D111" s="39"/>
    </row>
    <row r="112" spans="2:4" ht="15.75" x14ac:dyDescent="0.25">
      <c r="B112" s="39"/>
      <c r="C112" s="39"/>
      <c r="D112" s="39"/>
    </row>
    <row r="113" spans="2:4" ht="15.75" x14ac:dyDescent="0.25">
      <c r="B113" s="39"/>
      <c r="C113" s="39"/>
      <c r="D113" s="39"/>
    </row>
    <row r="114" spans="2:4" ht="15.75" x14ac:dyDescent="0.25">
      <c r="B114" s="39"/>
      <c r="C114" s="39"/>
      <c r="D114" s="39"/>
    </row>
    <row r="115" spans="2:4" ht="15.75" x14ac:dyDescent="0.25">
      <c r="B115" s="39"/>
      <c r="C115" s="39"/>
      <c r="D115" s="39"/>
    </row>
    <row r="116" spans="2:4" ht="15.75" x14ac:dyDescent="0.25">
      <c r="B116" s="39"/>
      <c r="C116" s="39"/>
      <c r="D116" s="39"/>
    </row>
    <row r="117" spans="2:4" ht="15.75" x14ac:dyDescent="0.25">
      <c r="B117" s="39"/>
      <c r="C117" s="39"/>
      <c r="D117" s="39"/>
    </row>
    <row r="118" spans="2:4" ht="15.75" x14ac:dyDescent="0.25">
      <c r="B118" s="39"/>
      <c r="C118" s="39"/>
      <c r="D118" s="39"/>
    </row>
    <row r="119" spans="2:4" ht="15.75" x14ac:dyDescent="0.25">
      <c r="B119" s="39"/>
      <c r="C119" s="39"/>
      <c r="D119" s="39"/>
    </row>
    <row r="120" spans="2:4" ht="15.75" x14ac:dyDescent="0.25">
      <c r="B120" s="39"/>
      <c r="C120" s="39"/>
      <c r="D120" s="39"/>
    </row>
    <row r="121" spans="2:4" ht="15.75" x14ac:dyDescent="0.25">
      <c r="B121" s="39"/>
      <c r="C121" s="39"/>
      <c r="D121" s="39"/>
    </row>
    <row r="122" spans="2:4" ht="15.75" x14ac:dyDescent="0.25">
      <c r="B122" s="39"/>
      <c r="C122" s="39"/>
      <c r="D122" s="39"/>
    </row>
    <row r="123" spans="2:4" ht="15.75" x14ac:dyDescent="0.25">
      <c r="B123" s="39"/>
      <c r="C123" s="39"/>
      <c r="D123" s="39"/>
    </row>
    <row r="124" spans="2:4" ht="15.75" x14ac:dyDescent="0.25">
      <c r="B124" s="39"/>
      <c r="C124" s="39"/>
      <c r="D124" s="39"/>
    </row>
    <row r="125" spans="2:4" ht="15.75" x14ac:dyDescent="0.25">
      <c r="B125" s="39"/>
      <c r="C125" s="39"/>
      <c r="D125" s="39"/>
    </row>
    <row r="126" spans="2:4" ht="15.75" x14ac:dyDescent="0.25">
      <c r="B126" s="39"/>
      <c r="C126" s="39"/>
      <c r="D126" s="39"/>
    </row>
    <row r="127" spans="2:4" ht="15.75" x14ac:dyDescent="0.25">
      <c r="B127" s="39"/>
      <c r="C127" s="39"/>
      <c r="D127" s="39"/>
    </row>
    <row r="128" spans="2:4" ht="15.75" x14ac:dyDescent="0.25">
      <c r="B128" s="39"/>
      <c r="C128" s="39"/>
      <c r="D128" s="39"/>
    </row>
    <row r="129" spans="2:4" ht="15.75" x14ac:dyDescent="0.25">
      <c r="B129" s="39"/>
      <c r="C129" s="39"/>
      <c r="D129" s="39"/>
    </row>
    <row r="130" spans="2:4" ht="15.75" x14ac:dyDescent="0.25">
      <c r="B130" s="39"/>
      <c r="C130" s="39"/>
      <c r="D130" s="39"/>
    </row>
    <row r="131" spans="2:4" ht="15.75" x14ac:dyDescent="0.25">
      <c r="B131" s="39"/>
      <c r="C131" s="39"/>
      <c r="D131" s="39"/>
    </row>
    <row r="132" spans="2:4" ht="15.75" x14ac:dyDescent="0.25">
      <c r="B132" s="39"/>
      <c r="C132" s="39"/>
      <c r="D132" s="39"/>
    </row>
    <row r="133" spans="2:4" ht="15.75" x14ac:dyDescent="0.25">
      <c r="B133" s="39"/>
      <c r="C133" s="39"/>
      <c r="D133" s="39"/>
    </row>
    <row r="134" spans="2:4" ht="15.75" x14ac:dyDescent="0.25">
      <c r="B134" s="39"/>
      <c r="C134" s="39"/>
      <c r="D134" s="39"/>
    </row>
    <row r="135" spans="2:4" ht="15.75" x14ac:dyDescent="0.25">
      <c r="B135" s="39"/>
      <c r="C135" s="39"/>
      <c r="D135" s="39"/>
    </row>
    <row r="136" spans="2:4" ht="15.75" x14ac:dyDescent="0.25">
      <c r="B136" s="39"/>
      <c r="C136" s="39"/>
      <c r="D136" s="39"/>
    </row>
    <row r="137" spans="2:4" ht="15.75" x14ac:dyDescent="0.25">
      <c r="B137" s="39"/>
      <c r="C137" s="39"/>
      <c r="D137" s="39"/>
    </row>
    <row r="138" spans="2:4" ht="15.75" x14ac:dyDescent="0.25">
      <c r="B138" s="39"/>
      <c r="C138" s="39"/>
      <c r="D138" s="39"/>
    </row>
    <row r="139" spans="2:4" ht="15.75" x14ac:dyDescent="0.25">
      <c r="B139" s="39"/>
      <c r="C139" s="39"/>
      <c r="D139" s="39"/>
    </row>
    <row r="140" spans="2:4" ht="15.75" x14ac:dyDescent="0.25">
      <c r="B140" s="39"/>
      <c r="C140" s="39"/>
      <c r="D140" s="39"/>
    </row>
    <row r="141" spans="2:4" ht="15.75" x14ac:dyDescent="0.25">
      <c r="B141" s="39"/>
      <c r="C141" s="39"/>
      <c r="D141" s="39"/>
    </row>
    <row r="142" spans="2:4" ht="15.75" x14ac:dyDescent="0.25">
      <c r="B142" s="39"/>
      <c r="C142" s="39"/>
      <c r="D142" s="39"/>
    </row>
    <row r="143" spans="2:4" ht="15.75" x14ac:dyDescent="0.25">
      <c r="B143" s="39"/>
      <c r="C143" s="39"/>
      <c r="D143" s="39"/>
    </row>
    <row r="144" spans="2:4" ht="15.75" x14ac:dyDescent="0.25">
      <c r="B144" s="39"/>
      <c r="C144" s="39"/>
      <c r="D144" s="39"/>
    </row>
    <row r="145" spans="2:4" ht="15.75" x14ac:dyDescent="0.25">
      <c r="B145" s="39"/>
      <c r="C145" s="39"/>
      <c r="D145" s="39"/>
    </row>
    <row r="146" spans="2:4" ht="15.75" x14ac:dyDescent="0.25">
      <c r="B146" s="39"/>
      <c r="C146" s="39"/>
      <c r="D146" s="39"/>
    </row>
    <row r="147" spans="2:4" ht="15.75" x14ac:dyDescent="0.25">
      <c r="B147" s="39"/>
      <c r="C147" s="39"/>
      <c r="D147" s="39"/>
    </row>
    <row r="148" spans="2:4" ht="15.75" x14ac:dyDescent="0.25">
      <c r="B148" s="39"/>
      <c r="C148" s="39"/>
      <c r="D148" s="39"/>
    </row>
    <row r="149" spans="2:4" ht="15.75" x14ac:dyDescent="0.25">
      <c r="B149" s="39"/>
      <c r="C149" s="39"/>
      <c r="D149" s="39"/>
    </row>
    <row r="150" spans="2:4" ht="15.75" x14ac:dyDescent="0.25">
      <c r="B150" s="39"/>
      <c r="C150" s="39"/>
      <c r="D150" s="39"/>
    </row>
    <row r="151" spans="2:4" ht="15.75" x14ac:dyDescent="0.25">
      <c r="B151" s="39"/>
      <c r="C151" s="39"/>
      <c r="D151" s="39"/>
    </row>
    <row r="152" spans="2:4" ht="15.75" x14ac:dyDescent="0.25">
      <c r="B152" s="39"/>
      <c r="C152" s="39"/>
      <c r="D152" s="39"/>
    </row>
    <row r="153" spans="2:4" x14ac:dyDescent="0.25">
      <c r="B153" s="3"/>
      <c r="C153" s="3"/>
      <c r="D153" s="3"/>
    </row>
    <row r="154" spans="2:4" x14ac:dyDescent="0.25">
      <c r="B154" s="3"/>
      <c r="C154" s="3"/>
      <c r="D154" s="3"/>
    </row>
    <row r="155" spans="2:4" x14ac:dyDescent="0.25">
      <c r="B155" s="3"/>
      <c r="C155" s="3"/>
      <c r="D155" s="3"/>
    </row>
  </sheetData>
  <mergeCells count="3">
    <mergeCell ref="D1:G1"/>
    <mergeCell ref="D2:G2"/>
    <mergeCell ref="D3:G3"/>
  </mergeCells>
  <pageMargins left="0.7" right="0.7" top="0.75" bottom="0.75" header="0.3" footer="0.3"/>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O12" sqref="O12"/>
    </sheetView>
  </sheetViews>
  <sheetFormatPr defaultRowHeight="15" x14ac:dyDescent="0.25"/>
  <cols>
    <col min="1" max="1" width="3.7109375" style="4"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90" t="s">
        <v>141</v>
      </c>
      <c r="J1" s="190"/>
      <c r="K1" s="190"/>
      <c r="L1" s="190"/>
    </row>
    <row r="2" spans="2:12" ht="15.75" x14ac:dyDescent="0.25">
      <c r="I2" s="191" t="s">
        <v>24</v>
      </c>
      <c r="J2" s="191"/>
      <c r="K2" s="191"/>
      <c r="L2" s="191"/>
    </row>
    <row r="3" spans="2:12" ht="15.75" x14ac:dyDescent="0.25">
      <c r="I3" s="191" t="s">
        <v>25</v>
      </c>
      <c r="J3" s="191"/>
      <c r="K3" s="191"/>
      <c r="L3" s="191"/>
    </row>
    <row r="4" spans="2:12" s="49" customFormat="1" x14ac:dyDescent="0.25"/>
    <row r="5" spans="2:12" s="49" customFormat="1" ht="15.75" x14ac:dyDescent="0.25">
      <c r="B5" s="64" t="s">
        <v>77</v>
      </c>
    </row>
    <row r="6" spans="2:12" s="49" customFormat="1" ht="15.75" x14ac:dyDescent="0.25">
      <c r="B6" s="64" t="s">
        <v>73</v>
      </c>
    </row>
    <row r="7" spans="2:12" s="49" customFormat="1" ht="15.75" x14ac:dyDescent="0.25">
      <c r="B7" s="65"/>
      <c r="C7" s="66" t="s">
        <v>74</v>
      </c>
      <c r="D7" s="66">
        <v>2014</v>
      </c>
      <c r="E7" s="66">
        <v>2015</v>
      </c>
      <c r="F7" s="66">
        <v>2016</v>
      </c>
      <c r="G7" s="66">
        <v>2017</v>
      </c>
      <c r="H7" s="66">
        <v>2018</v>
      </c>
      <c r="I7" s="66">
        <v>2019</v>
      </c>
      <c r="J7" s="66">
        <v>2020</v>
      </c>
      <c r="K7" s="67" t="s">
        <v>12</v>
      </c>
    </row>
    <row r="8" spans="2:12" s="49" customFormat="1" ht="51" x14ac:dyDescent="0.25">
      <c r="B8" s="43" t="s">
        <v>75</v>
      </c>
      <c r="C8" s="43" t="s">
        <v>76</v>
      </c>
      <c r="D8" s="68"/>
      <c r="E8" s="69"/>
      <c r="F8" s="68"/>
      <c r="G8" s="68"/>
      <c r="H8" s="68"/>
      <c r="I8" s="68"/>
      <c r="J8" s="68"/>
      <c r="K8" s="68"/>
    </row>
    <row r="9" spans="2:12" s="95" customFormat="1" ht="25.5" customHeight="1" x14ac:dyDescent="0.25">
      <c r="B9" s="94" t="s">
        <v>456</v>
      </c>
      <c r="C9" s="94" t="s">
        <v>874</v>
      </c>
      <c r="D9" s="94">
        <f>'5 lentelė'!E13</f>
        <v>0</v>
      </c>
      <c r="E9" s="94">
        <f>'1 lentelė'!G13</f>
        <v>0</v>
      </c>
      <c r="F9" s="94">
        <f>'1 lentelė'!I13</f>
        <v>0</v>
      </c>
      <c r="G9" s="94">
        <f>'1 lentelė'!K13</f>
        <v>4585095.13</v>
      </c>
      <c r="H9" s="94">
        <f>'1 lentelė'!M13</f>
        <v>2705110.94</v>
      </c>
      <c r="I9" s="94">
        <f>'1 lentelė'!O13</f>
        <v>2165640.9300000002</v>
      </c>
      <c r="J9" s="94">
        <f>'1 lentelė'!Q13</f>
        <v>0</v>
      </c>
      <c r="K9" s="94">
        <f t="shared" ref="K9:K34" si="0">D9+E9+F9+G9+H9+I9+J9</f>
        <v>9455847</v>
      </c>
    </row>
    <row r="10" spans="2:12" s="49" customFormat="1" ht="38.25" customHeight="1" x14ac:dyDescent="0.25">
      <c r="B10" s="43" t="s">
        <v>875</v>
      </c>
      <c r="C10" s="94" t="s">
        <v>876</v>
      </c>
      <c r="D10" s="43">
        <v>0</v>
      </c>
      <c r="E10" s="43">
        <v>0</v>
      </c>
      <c r="F10" s="43">
        <v>0</v>
      </c>
      <c r="G10" s="43">
        <f>'2 lentelė'!Q26</f>
        <v>238849.32</v>
      </c>
      <c r="H10" s="43">
        <v>0</v>
      </c>
      <c r="I10" s="43">
        <v>0</v>
      </c>
      <c r="J10" s="43">
        <v>0</v>
      </c>
      <c r="K10" s="43">
        <f t="shared" si="0"/>
        <v>238849.32</v>
      </c>
    </row>
    <row r="11" spans="2:12" s="49" customFormat="1" ht="38.25" customHeight="1" x14ac:dyDescent="0.25">
      <c r="B11" s="94" t="s">
        <v>877</v>
      </c>
      <c r="C11" s="94" t="s">
        <v>879</v>
      </c>
      <c r="D11" s="43">
        <v>0</v>
      </c>
      <c r="E11" s="43">
        <v>0</v>
      </c>
      <c r="F11" s="43">
        <f>'2 lentelė'!Q27+'2 lentelė'!Q28</f>
        <v>3202415.29</v>
      </c>
      <c r="G11" s="43">
        <v>0</v>
      </c>
      <c r="H11" s="43">
        <v>0</v>
      </c>
      <c r="I11" s="43">
        <v>0</v>
      </c>
      <c r="J11" s="43">
        <v>0</v>
      </c>
      <c r="K11" s="43">
        <f t="shared" si="0"/>
        <v>3202415.29</v>
      </c>
    </row>
    <row r="12" spans="2:12" s="49" customFormat="1" ht="25.5" customHeight="1" x14ac:dyDescent="0.25">
      <c r="B12" s="43" t="s">
        <v>532</v>
      </c>
      <c r="C12" s="94" t="s">
        <v>878</v>
      </c>
      <c r="D12" s="43">
        <f>'1 lentelė'!E33</f>
        <v>0</v>
      </c>
      <c r="E12" s="43">
        <f>'1 lentelė'!G33</f>
        <v>0</v>
      </c>
      <c r="F12" s="43">
        <f>'1 lentelė'!I33</f>
        <v>0</v>
      </c>
      <c r="G12" s="94">
        <f>'1 lentelė'!K33</f>
        <v>761599.68</v>
      </c>
      <c r="H12" s="94">
        <f>'1 lentelė'!M33</f>
        <v>0</v>
      </c>
      <c r="I12" s="94">
        <f>'1 lentelė'!O33</f>
        <v>0</v>
      </c>
      <c r="J12" s="94">
        <f>'1 lentelė'!Q33</f>
        <v>0</v>
      </c>
      <c r="K12" s="94">
        <f t="shared" si="0"/>
        <v>761599.68</v>
      </c>
    </row>
    <row r="13" spans="2:12" s="95" customFormat="1" ht="15" customHeight="1" x14ac:dyDescent="0.25">
      <c r="B13" s="94" t="s">
        <v>537</v>
      </c>
      <c r="C13" s="94" t="s">
        <v>880</v>
      </c>
      <c r="D13" s="94">
        <f>'1 lentelė'!E40</f>
        <v>0</v>
      </c>
      <c r="E13" s="94">
        <f>'1 lentelė'!G40</f>
        <v>0</v>
      </c>
      <c r="F13" s="94">
        <f>'1 lentelė'!I40</f>
        <v>0</v>
      </c>
      <c r="G13" s="94">
        <f>'1 lentelė'!K40</f>
        <v>1057912.3600000001</v>
      </c>
      <c r="H13" s="94">
        <f>'1 lentelė'!M40</f>
        <v>1019746.16</v>
      </c>
      <c r="I13" s="94">
        <f>'1 lentelė'!O40</f>
        <v>1177728.3699999999</v>
      </c>
      <c r="J13" s="94">
        <f>'1 lentelė'!Q40</f>
        <v>584732.04</v>
      </c>
      <c r="K13" s="94">
        <f t="shared" si="0"/>
        <v>3840118.9299999997</v>
      </c>
    </row>
    <row r="14" spans="2:12" s="49" customFormat="1" ht="38.25" customHeight="1" x14ac:dyDescent="0.25">
      <c r="B14" s="43" t="s">
        <v>556</v>
      </c>
      <c r="C14" s="94" t="s">
        <v>881</v>
      </c>
      <c r="D14" s="43">
        <f>'1 lentelė'!E55</f>
        <v>0</v>
      </c>
      <c r="E14" s="43">
        <f>'1 lentelė'!G55</f>
        <v>0</v>
      </c>
      <c r="F14" s="43">
        <f>'1 lentelė'!I55</f>
        <v>0</v>
      </c>
      <c r="G14" s="43">
        <f>'1 lentelė'!K55</f>
        <v>0</v>
      </c>
      <c r="H14" s="43">
        <f>'1 lentelė'!M55</f>
        <v>308052</v>
      </c>
      <c r="I14" s="43">
        <f>'1 lentelė'!O55</f>
        <v>87500</v>
      </c>
      <c r="J14" s="43">
        <f>'1 lentelė'!Q55</f>
        <v>0</v>
      </c>
      <c r="K14" s="43">
        <f t="shared" si="0"/>
        <v>395552</v>
      </c>
    </row>
    <row r="15" spans="2:12" s="49" customFormat="1" ht="25.5" x14ac:dyDescent="0.25">
      <c r="B15" s="94" t="s">
        <v>564</v>
      </c>
      <c r="C15" s="94" t="s">
        <v>882</v>
      </c>
      <c r="D15" s="43">
        <v>0</v>
      </c>
      <c r="E15" s="43">
        <v>0</v>
      </c>
      <c r="F15" s="43">
        <v>0</v>
      </c>
      <c r="G15" s="43">
        <v>0</v>
      </c>
      <c r="H15" s="43">
        <v>0</v>
      </c>
      <c r="I15" s="43">
        <f>'2 lentelė'!Q60+'2 lentelė'!Q62</f>
        <v>1210838</v>
      </c>
      <c r="J15" s="43">
        <v>0</v>
      </c>
      <c r="K15" s="43">
        <f t="shared" si="0"/>
        <v>1210838</v>
      </c>
    </row>
    <row r="16" spans="2:12" s="49" customFormat="1" ht="25.5" x14ac:dyDescent="0.25">
      <c r="B16" s="94" t="s">
        <v>565</v>
      </c>
      <c r="C16" s="94" t="s">
        <v>883</v>
      </c>
      <c r="D16" s="43">
        <v>0</v>
      </c>
      <c r="E16" s="43">
        <v>0</v>
      </c>
      <c r="F16" s="43">
        <f>'2 lentelė'!Q59</f>
        <v>17000</v>
      </c>
      <c r="G16" s="43">
        <f>'2 lentelė'!Q61</f>
        <v>13345</v>
      </c>
      <c r="H16" s="43">
        <v>0</v>
      </c>
      <c r="I16" s="43">
        <v>0</v>
      </c>
      <c r="J16" s="43">
        <v>0</v>
      </c>
      <c r="K16" s="43">
        <f t="shared" si="0"/>
        <v>30345</v>
      </c>
    </row>
    <row r="17" spans="2:11" s="49" customFormat="1" ht="51" x14ac:dyDescent="0.25">
      <c r="B17" s="94" t="s">
        <v>576</v>
      </c>
      <c r="C17" s="94" t="s">
        <v>884</v>
      </c>
      <c r="D17" s="43">
        <f>'1 lentelė'!E63</f>
        <v>0</v>
      </c>
      <c r="E17" s="43">
        <f>'1 lentelė'!G63</f>
        <v>0</v>
      </c>
      <c r="F17" s="94">
        <f>'1 lentelė'!I63</f>
        <v>0</v>
      </c>
      <c r="G17" s="94">
        <f>'1 lentelė'!K63</f>
        <v>0</v>
      </c>
      <c r="H17" s="94">
        <f>'1 lentelė'!M63</f>
        <v>0</v>
      </c>
      <c r="I17" s="94">
        <f>'1 lentelė'!O63</f>
        <v>1012900</v>
      </c>
      <c r="J17" s="94">
        <f>'1 lentelė'!Q63</f>
        <v>0</v>
      </c>
      <c r="K17" s="94">
        <f t="shared" si="0"/>
        <v>1012900</v>
      </c>
    </row>
    <row r="18" spans="2:11" s="49" customFormat="1" ht="38.25" x14ac:dyDescent="0.25">
      <c r="B18" s="94" t="s">
        <v>580</v>
      </c>
      <c r="C18" s="94" t="s">
        <v>885</v>
      </c>
      <c r="D18" s="43">
        <f>'1 lentelė'!E70</f>
        <v>0</v>
      </c>
      <c r="E18" s="43">
        <f>'1 lentelė'!G70</f>
        <v>0</v>
      </c>
      <c r="F18" s="94">
        <f>'1 lentelė'!I70</f>
        <v>0</v>
      </c>
      <c r="G18" s="94">
        <f>'1 lentelė'!K70</f>
        <v>1186384.8800000001</v>
      </c>
      <c r="H18" s="94">
        <f>'1 lentelė'!M70</f>
        <v>0</v>
      </c>
      <c r="I18" s="94">
        <f>'1 lentelė'!O70</f>
        <v>0</v>
      </c>
      <c r="J18" s="94">
        <f>'1 lentelė'!Q70</f>
        <v>0</v>
      </c>
      <c r="K18" s="94">
        <f t="shared" si="0"/>
        <v>1186384.8800000001</v>
      </c>
    </row>
    <row r="19" spans="2:11" s="49" customFormat="1" ht="75.75" customHeight="1" x14ac:dyDescent="0.25">
      <c r="B19" s="94" t="s">
        <v>886</v>
      </c>
      <c r="C19" s="94" t="s">
        <v>887</v>
      </c>
      <c r="D19" s="43">
        <f>'1 lentelė'!E76</f>
        <v>0</v>
      </c>
      <c r="E19" s="43">
        <f>'1 lentelė'!G76</f>
        <v>0</v>
      </c>
      <c r="F19" s="94">
        <f>'1 lentelė'!I76</f>
        <v>0</v>
      </c>
      <c r="G19" s="94">
        <f>'1 lentelė'!K76</f>
        <v>253936.88</v>
      </c>
      <c r="H19" s="94">
        <f>'1 lentelė'!M76</f>
        <v>0</v>
      </c>
      <c r="I19" s="94">
        <f>'1 lentelė'!O76</f>
        <v>290305.83</v>
      </c>
      <c r="J19" s="94">
        <f>'1 lentelė'!Q77</f>
        <v>0</v>
      </c>
      <c r="K19" s="94">
        <f t="shared" si="0"/>
        <v>544242.71</v>
      </c>
    </row>
    <row r="20" spans="2:11" s="95" customFormat="1" ht="76.5" x14ac:dyDescent="0.25">
      <c r="B20" s="94" t="s">
        <v>604</v>
      </c>
      <c r="C20" s="94" t="s">
        <v>888</v>
      </c>
      <c r="D20" s="94">
        <f>'1 lentelė'!E81</f>
        <v>0</v>
      </c>
      <c r="E20" s="94">
        <f>'1 lentelė'!G81</f>
        <v>0</v>
      </c>
      <c r="F20" s="94">
        <f>'1 lentelė'!I81</f>
        <v>6050727.4300000006</v>
      </c>
      <c r="G20" s="94">
        <f>'1 lentelė'!K81</f>
        <v>823834.4</v>
      </c>
      <c r="H20" s="94">
        <f>'1 lentelė'!M81</f>
        <v>0</v>
      </c>
      <c r="I20" s="94">
        <f>'1 lentelė'!O81</f>
        <v>1961264.22</v>
      </c>
      <c r="J20" s="94">
        <f>'1 lentelė'!Q81</f>
        <v>0</v>
      </c>
      <c r="K20" s="94">
        <f t="shared" si="0"/>
        <v>8835826.0500000007</v>
      </c>
    </row>
    <row r="21" spans="2:11" s="49" customFormat="1" ht="25.5" x14ac:dyDescent="0.25">
      <c r="B21" s="43" t="s">
        <v>617</v>
      </c>
      <c r="C21" s="94" t="s">
        <v>889</v>
      </c>
      <c r="D21" s="43">
        <f>'1 lentelė'!E93</f>
        <v>0</v>
      </c>
      <c r="E21" s="43">
        <f>'1 lentelė'!G93</f>
        <v>0</v>
      </c>
      <c r="F21" s="94">
        <f>'1 lentelė'!I93</f>
        <v>0</v>
      </c>
      <c r="G21" s="94">
        <f>'1 lentelė'!K93</f>
        <v>1745587.0899999999</v>
      </c>
      <c r="H21" s="94">
        <f>'1 lentelė'!M93</f>
        <v>0</v>
      </c>
      <c r="I21" s="94">
        <f>'1 lentelė'!O93</f>
        <v>0</v>
      </c>
      <c r="J21" s="94">
        <f>'1 lentelė'!Q93</f>
        <v>0</v>
      </c>
      <c r="K21" s="94">
        <f t="shared" si="0"/>
        <v>1745587.0899999999</v>
      </c>
    </row>
    <row r="22" spans="2:11" s="49" customFormat="1" ht="38.25" x14ac:dyDescent="0.25">
      <c r="B22" s="43" t="s">
        <v>622</v>
      </c>
      <c r="C22" s="94" t="s">
        <v>890</v>
      </c>
      <c r="D22" s="43">
        <f>'1 lentelė'!E96</f>
        <v>0</v>
      </c>
      <c r="E22" s="43">
        <f>'1 lentelė'!G96</f>
        <v>0</v>
      </c>
      <c r="F22" s="94">
        <f>'1 lentelė'!I96</f>
        <v>504770</v>
      </c>
      <c r="G22" s="94">
        <f>'1 lentelė'!K96</f>
        <v>2327280.34</v>
      </c>
      <c r="H22" s="94">
        <f>'1 lentelė'!M96</f>
        <v>0</v>
      </c>
      <c r="I22" s="94">
        <f>'1 lentelė'!O96</f>
        <v>0</v>
      </c>
      <c r="J22" s="94">
        <f>'1 lentelė'!Q96</f>
        <v>0</v>
      </c>
      <c r="K22" s="94">
        <f t="shared" si="0"/>
        <v>2832050.34</v>
      </c>
    </row>
    <row r="23" spans="2:11" s="95" customFormat="1" ht="25.5" x14ac:dyDescent="0.25">
      <c r="B23" s="94" t="s">
        <v>637</v>
      </c>
      <c r="C23" s="94" t="s">
        <v>891</v>
      </c>
      <c r="D23" s="94">
        <f>'1 lentelė'!E104</f>
        <v>0</v>
      </c>
      <c r="E23" s="94">
        <f>'1 lentelė'!G104</f>
        <v>0</v>
      </c>
      <c r="F23" s="94">
        <f>'1 lentelė'!I104</f>
        <v>203010.14</v>
      </c>
      <c r="G23" s="94">
        <f>'1 lentelė'!K104</f>
        <v>1375870.84</v>
      </c>
      <c r="H23" s="94">
        <f>'1 lentelė'!M104</f>
        <v>358057.13</v>
      </c>
      <c r="I23" s="94">
        <f>'1 lentelė'!O104</f>
        <v>519171</v>
      </c>
      <c r="J23" s="94">
        <f>'1 lentelė'!Q104</f>
        <v>500000</v>
      </c>
      <c r="K23" s="94">
        <f t="shared" si="0"/>
        <v>2956109.11</v>
      </c>
    </row>
    <row r="24" spans="2:11" s="49" customFormat="1" x14ac:dyDescent="0.25">
      <c r="B24" s="43" t="s">
        <v>932</v>
      </c>
      <c r="C24" s="94" t="s">
        <v>934</v>
      </c>
      <c r="D24" s="43">
        <f>'1 lentelė'!E117</f>
        <v>0</v>
      </c>
      <c r="E24" s="43">
        <f>'1 lentelė'!G117</f>
        <v>0</v>
      </c>
      <c r="F24" s="94">
        <f>'1 lentelė'!I117</f>
        <v>0</v>
      </c>
      <c r="G24" s="94">
        <f>'1 lentelė'!K117</f>
        <v>0</v>
      </c>
      <c r="H24" s="94">
        <f>'1 lentelė'!M117</f>
        <v>1737720</v>
      </c>
      <c r="I24" s="94">
        <f>'1 lentelė'!O117</f>
        <v>0</v>
      </c>
      <c r="J24" s="94">
        <f>'1 lentelė'!Q117</f>
        <v>0</v>
      </c>
      <c r="K24" s="94">
        <f t="shared" si="0"/>
        <v>1737720</v>
      </c>
    </row>
    <row r="25" spans="2:11" s="49" customFormat="1" ht="51" x14ac:dyDescent="0.25">
      <c r="B25" s="43" t="s">
        <v>657</v>
      </c>
      <c r="C25" s="94" t="s">
        <v>892</v>
      </c>
      <c r="D25" s="43">
        <f>'1 lentelė'!E127</f>
        <v>0</v>
      </c>
      <c r="E25" s="43">
        <f>'1 lentelė'!G127</f>
        <v>0</v>
      </c>
      <c r="F25" s="94">
        <f>'1 lentelė'!I127</f>
        <v>0</v>
      </c>
      <c r="G25" s="94">
        <f>'1 lentelė'!K127</f>
        <v>0</v>
      </c>
      <c r="H25" s="94">
        <f>'1 lentelė'!M127</f>
        <v>386380</v>
      </c>
      <c r="I25" s="94">
        <f>'1 lentelė'!O127</f>
        <v>0</v>
      </c>
      <c r="J25" s="94">
        <f>'1 lentelė'!Q127</f>
        <v>0</v>
      </c>
      <c r="K25" s="94">
        <f t="shared" si="0"/>
        <v>386380</v>
      </c>
    </row>
    <row r="26" spans="2:11" s="49" customFormat="1" ht="25.5" x14ac:dyDescent="0.25">
      <c r="B26" s="43" t="s">
        <v>661</v>
      </c>
      <c r="C26" s="94" t="s">
        <v>893</v>
      </c>
      <c r="D26" s="43">
        <f>'1 lentelė'!E130</f>
        <v>0</v>
      </c>
      <c r="E26" s="43">
        <f>'1 lentelė'!G130</f>
        <v>0</v>
      </c>
      <c r="F26" s="94">
        <f>'1 lentelė'!I130</f>
        <v>0</v>
      </c>
      <c r="G26" s="94">
        <f>'1 lentelė'!K130</f>
        <v>0</v>
      </c>
      <c r="H26" s="94">
        <f>'1 lentelė'!M130</f>
        <v>830529</v>
      </c>
      <c r="I26" s="94">
        <f>'1 lentelė'!O130</f>
        <v>0</v>
      </c>
      <c r="J26" s="94">
        <f>'1 lentelė'!Q130</f>
        <v>0</v>
      </c>
      <c r="K26" s="94">
        <f t="shared" si="0"/>
        <v>830529</v>
      </c>
    </row>
    <row r="27" spans="2:11" s="49" customFormat="1" ht="38.25" x14ac:dyDescent="0.25">
      <c r="B27" s="43" t="s">
        <v>668</v>
      </c>
      <c r="C27" s="94" t="s">
        <v>894</v>
      </c>
      <c r="D27" s="43">
        <f>'1 lentelė'!E135</f>
        <v>0</v>
      </c>
      <c r="E27" s="43">
        <f>'1 lentelė'!G135</f>
        <v>0</v>
      </c>
      <c r="F27" s="94">
        <f>'1 lentelė'!I135</f>
        <v>0</v>
      </c>
      <c r="G27" s="94">
        <f>'1 lentelė'!K135</f>
        <v>1132178</v>
      </c>
      <c r="H27" s="94">
        <f>'1 lentelė'!M135</f>
        <v>272533</v>
      </c>
      <c r="I27" s="94">
        <f>'1 lentelė'!O135</f>
        <v>0</v>
      </c>
      <c r="J27" s="94">
        <f>'1 lentelė'!Q135</f>
        <v>0</v>
      </c>
      <c r="K27" s="94">
        <f t="shared" si="0"/>
        <v>1404711</v>
      </c>
    </row>
    <row r="28" spans="2:11" s="49" customFormat="1" ht="51" x14ac:dyDescent="0.25">
      <c r="B28" s="94" t="s">
        <v>897</v>
      </c>
      <c r="C28" s="94" t="s">
        <v>896</v>
      </c>
      <c r="D28" s="43">
        <v>0</v>
      </c>
      <c r="E28" s="43">
        <v>0</v>
      </c>
      <c r="F28" s="94">
        <v>0</v>
      </c>
      <c r="G28" s="94">
        <v>0</v>
      </c>
      <c r="H28" s="172">
        <f>'1 lentelė'!M140</f>
        <v>569499.17999999993</v>
      </c>
      <c r="I28" s="172">
        <f>'1 lentelė'!O140</f>
        <v>535949.96</v>
      </c>
      <c r="J28" s="172">
        <f>'1 lentelė'!Q140</f>
        <v>0</v>
      </c>
      <c r="K28" s="94">
        <f t="shared" si="0"/>
        <v>1105449.1399999999</v>
      </c>
    </row>
    <row r="29" spans="2:11" s="49" customFormat="1" ht="89.25" x14ac:dyDescent="0.25">
      <c r="B29" s="94" t="s">
        <v>674</v>
      </c>
      <c r="C29" s="94" t="s">
        <v>895</v>
      </c>
      <c r="D29" s="43">
        <f>'1 lentelė'!E149</f>
        <v>0</v>
      </c>
      <c r="E29" s="43">
        <f>'1 lentelė'!G149</f>
        <v>0</v>
      </c>
      <c r="F29" s="94">
        <f>'1 lentelė'!I149</f>
        <v>0</v>
      </c>
      <c r="G29" s="94">
        <f>'1 lentelė'!K149</f>
        <v>0</v>
      </c>
      <c r="H29" s="94">
        <f>'1 lentelė'!M149</f>
        <v>35150.640000000007</v>
      </c>
      <c r="I29" s="94">
        <f>'1 lentelė'!O149</f>
        <v>0</v>
      </c>
      <c r="J29" s="94">
        <f>'1 lentelė'!Q149</f>
        <v>0</v>
      </c>
      <c r="K29" s="94">
        <f t="shared" si="0"/>
        <v>35150.640000000007</v>
      </c>
    </row>
    <row r="30" spans="2:11" s="49" customFormat="1" ht="38.25" x14ac:dyDescent="0.25">
      <c r="B30" s="94" t="s">
        <v>691</v>
      </c>
      <c r="C30" s="94" t="s">
        <v>898</v>
      </c>
      <c r="D30" s="43">
        <f>'1 lentelė'!E157</f>
        <v>0</v>
      </c>
      <c r="E30" s="43">
        <f>'1 lentelė'!G157</f>
        <v>0</v>
      </c>
      <c r="F30" s="94">
        <f>'1 lentelė'!I157</f>
        <v>0</v>
      </c>
      <c r="G30" s="94">
        <f>'1 lentelė'!K157</f>
        <v>0</v>
      </c>
      <c r="H30" s="94">
        <f>'1 lentelė'!M157</f>
        <v>823862.25</v>
      </c>
      <c r="I30" s="94">
        <f>'1 lentelė'!O157</f>
        <v>0</v>
      </c>
      <c r="J30" s="94">
        <f>'1 lentelė'!Q157</f>
        <v>0</v>
      </c>
      <c r="K30" s="94">
        <f t="shared" si="0"/>
        <v>823862.25</v>
      </c>
    </row>
    <row r="31" spans="2:11" s="49" customFormat="1" ht="25.5" x14ac:dyDescent="0.25">
      <c r="B31" s="94" t="s">
        <v>900</v>
      </c>
      <c r="C31" s="94" t="s">
        <v>899</v>
      </c>
      <c r="D31" s="43">
        <f>'1 lentelė'!E165</f>
        <v>0</v>
      </c>
      <c r="E31" s="43">
        <f>'1 lentelė'!G165</f>
        <v>0</v>
      </c>
      <c r="F31" s="94">
        <f>'1 lentelė'!I165</f>
        <v>0</v>
      </c>
      <c r="G31" s="94">
        <f>'1 lentelė'!K165</f>
        <v>43254.8</v>
      </c>
      <c r="H31" s="94">
        <f>'1 lentelė'!M165</f>
        <v>767493.20000000007</v>
      </c>
      <c r="I31" s="94">
        <f>'1 lentelė'!O165</f>
        <v>0</v>
      </c>
      <c r="J31" s="94">
        <f>'1 lentelė'!Q165</f>
        <v>0</v>
      </c>
      <c r="K31" s="94">
        <f t="shared" si="0"/>
        <v>810748.00000000012</v>
      </c>
    </row>
    <row r="32" spans="2:11" s="49" customFormat="1" ht="25.5" x14ac:dyDescent="0.25">
      <c r="B32" s="43" t="s">
        <v>715</v>
      </c>
      <c r="C32" s="94" t="s">
        <v>901</v>
      </c>
      <c r="D32" s="43">
        <f>'1 lentelė'!E170</f>
        <v>0</v>
      </c>
      <c r="E32" s="43">
        <f>'1 lentelė'!G170</f>
        <v>0</v>
      </c>
      <c r="F32" s="94">
        <f>'1 lentelė'!I170</f>
        <v>2194566.25</v>
      </c>
      <c r="G32" s="94">
        <f>'1 lentelė'!K170</f>
        <v>0</v>
      </c>
      <c r="H32" s="94">
        <f>'1 lentelė'!M170</f>
        <v>0</v>
      </c>
      <c r="I32" s="94">
        <f>'1 lentelė'!O170</f>
        <v>0</v>
      </c>
      <c r="J32" s="94">
        <f>'1 lentelė'!Q170</f>
        <v>0</v>
      </c>
      <c r="K32" s="94">
        <f t="shared" si="0"/>
        <v>2194566.25</v>
      </c>
    </row>
    <row r="33" spans="2:11" s="49" customFormat="1" ht="38.25" x14ac:dyDescent="0.25">
      <c r="B33" s="94" t="s">
        <v>725</v>
      </c>
      <c r="C33" s="94" t="s">
        <v>902</v>
      </c>
      <c r="D33" s="43">
        <f>'1 lentelė'!E178</f>
        <v>0</v>
      </c>
      <c r="E33" s="43">
        <f>'1 lentelė'!G178</f>
        <v>0</v>
      </c>
      <c r="F33" s="94">
        <f>'1 lentelė'!I178</f>
        <v>0</v>
      </c>
      <c r="G33" s="94">
        <f>'1 lentelė'!K178</f>
        <v>4741187.91</v>
      </c>
      <c r="H33" s="94">
        <f>'1 lentelė'!M178</f>
        <v>25665</v>
      </c>
      <c r="I33" s="94">
        <f>'1 lentelė'!O178</f>
        <v>0</v>
      </c>
      <c r="J33" s="94">
        <f>'1 lentelė'!Q178</f>
        <v>0</v>
      </c>
      <c r="K33" s="94">
        <f t="shared" si="0"/>
        <v>4766852.91</v>
      </c>
    </row>
    <row r="34" spans="2:11" s="49" customFormat="1" ht="51" x14ac:dyDescent="0.25">
      <c r="B34" s="94" t="s">
        <v>743</v>
      </c>
      <c r="C34" s="94" t="s">
        <v>903</v>
      </c>
      <c r="D34" s="43">
        <f>'1 lentelė'!E186</f>
        <v>0</v>
      </c>
      <c r="E34" s="43">
        <f>'1 lentelė'!G186</f>
        <v>0</v>
      </c>
      <c r="F34" s="94">
        <f>'1 lentelė'!I186</f>
        <v>0</v>
      </c>
      <c r="G34" s="94">
        <f>'1 lentelė'!K186</f>
        <v>0</v>
      </c>
      <c r="H34" s="94">
        <f>'1 lentelė'!M186</f>
        <v>698761.69</v>
      </c>
      <c r="I34" s="94">
        <f>'1 lentelė'!O186</f>
        <v>193762.99</v>
      </c>
      <c r="J34" s="94">
        <f>'1 lentelė'!Q186</f>
        <v>0</v>
      </c>
      <c r="K34" s="94">
        <f t="shared" si="0"/>
        <v>892524.67999999993</v>
      </c>
    </row>
    <row r="35" spans="2:11" s="49" customFormat="1" x14ac:dyDescent="0.25"/>
    <row r="36" spans="2:11" s="49"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M20" sqref="M20"/>
    </sheetView>
  </sheetViews>
  <sheetFormatPr defaultRowHeight="15" x14ac:dyDescent="0.25"/>
  <cols>
    <col min="1" max="1" width="4.42578125" style="4"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90" t="s">
        <v>141</v>
      </c>
      <c r="H1" s="190"/>
      <c r="I1" s="190"/>
      <c r="J1" s="190"/>
    </row>
    <row r="2" spans="2:10" ht="15.75" x14ac:dyDescent="0.25">
      <c r="G2" s="191" t="s">
        <v>24</v>
      </c>
      <c r="H2" s="191"/>
      <c r="I2" s="191"/>
      <c r="J2" s="191"/>
    </row>
    <row r="3" spans="2:10" ht="15.75" x14ac:dyDescent="0.25">
      <c r="G3" s="191" t="s">
        <v>25</v>
      </c>
      <c r="H3" s="191"/>
      <c r="I3" s="191"/>
      <c r="J3" s="191"/>
    </row>
    <row r="5" spans="2:10" ht="15.75" x14ac:dyDescent="0.25">
      <c r="B5" s="1" t="s">
        <v>81</v>
      </c>
    </row>
    <row r="6" spans="2:10" ht="15.75" x14ac:dyDescent="0.25">
      <c r="B6" s="1" t="s">
        <v>78</v>
      </c>
    </row>
    <row r="7" spans="2:10" ht="15.75" x14ac:dyDescent="0.25">
      <c r="B7" s="14"/>
      <c r="C7" s="15" t="s">
        <v>74</v>
      </c>
      <c r="D7" s="15">
        <v>2014</v>
      </c>
      <c r="E7" s="15">
        <v>2015</v>
      </c>
      <c r="F7" s="15">
        <v>2016</v>
      </c>
      <c r="G7" s="15">
        <v>2017</v>
      </c>
      <c r="H7" s="15">
        <v>2018</v>
      </c>
      <c r="I7" s="15">
        <v>2019</v>
      </c>
      <c r="J7" s="15">
        <v>2020</v>
      </c>
    </row>
    <row r="8" spans="2:10" ht="38.25" x14ac:dyDescent="0.25">
      <c r="B8" s="18" t="s">
        <v>79</v>
      </c>
      <c r="C8" s="18" t="s">
        <v>80</v>
      </c>
      <c r="D8" s="16"/>
      <c r="E8" s="6"/>
      <c r="F8" s="16"/>
      <c r="G8" s="16"/>
      <c r="H8" s="16"/>
      <c r="I8" s="16"/>
      <c r="J8" s="16"/>
    </row>
    <row r="9" spans="2:10" s="84" customFormat="1" x14ac:dyDescent="0.25">
      <c r="B9" s="94" t="s">
        <v>456</v>
      </c>
      <c r="C9" s="94" t="s">
        <v>874</v>
      </c>
      <c r="D9" s="94">
        <f>'5 lentelė'!D9</f>
        <v>0</v>
      </c>
      <c r="E9" s="94">
        <f>'5 lentelė'!E9+'6 lentelė'!D9</f>
        <v>0</v>
      </c>
      <c r="F9" s="94">
        <f>'5 lentelė'!F9+'6 lentelė'!E9</f>
        <v>0</v>
      </c>
      <c r="G9" s="94">
        <f>'5 lentelė'!G9+'6 lentelė'!F9</f>
        <v>4585095.13</v>
      </c>
      <c r="H9" s="94">
        <f>'5 lentelė'!H9+'6 lentelė'!G9</f>
        <v>7290206.0700000003</v>
      </c>
      <c r="I9" s="94">
        <f>'5 lentelė'!I9+'6 lentelė'!H9</f>
        <v>9455847</v>
      </c>
      <c r="J9" s="94">
        <f>'5 lentelė'!J9+'6 lentelė'!I9</f>
        <v>9455847</v>
      </c>
    </row>
    <row r="10" spans="2:10" ht="25.5" x14ac:dyDescent="0.25">
      <c r="B10" s="94" t="s">
        <v>875</v>
      </c>
      <c r="C10" s="43" t="s">
        <v>876</v>
      </c>
      <c r="D10" s="43">
        <f>'5 lentelė'!D10</f>
        <v>0</v>
      </c>
      <c r="E10" s="43">
        <f>'5 lentelė'!E10+'6 lentelė'!D10</f>
        <v>0</v>
      </c>
      <c r="F10" s="43">
        <f>'5 lentelė'!F10+'6 lentelė'!E10</f>
        <v>0</v>
      </c>
      <c r="G10" s="43">
        <f>'5 lentelė'!G10+'6 lentelė'!F10</f>
        <v>238849.32</v>
      </c>
      <c r="H10" s="43">
        <f>'5 lentelė'!H10+'6 lentelė'!G10</f>
        <v>238849.32</v>
      </c>
      <c r="I10" s="43">
        <f>'5 lentelė'!I10+'6 lentelė'!H10</f>
        <v>238849.32</v>
      </c>
      <c r="J10" s="43">
        <f>'5 lentelė'!J10+'6 lentelė'!I10</f>
        <v>238849.32</v>
      </c>
    </row>
    <row r="11" spans="2:10" ht="25.5" x14ac:dyDescent="0.25">
      <c r="B11" s="94" t="s">
        <v>877</v>
      </c>
      <c r="C11" s="43" t="s">
        <v>879</v>
      </c>
      <c r="D11" s="43">
        <f>'5 lentelė'!D11</f>
        <v>0</v>
      </c>
      <c r="E11" s="43">
        <f>'5 lentelė'!E11+'6 lentelė'!D11</f>
        <v>0</v>
      </c>
      <c r="F11" s="43">
        <f>'5 lentelė'!F11+'6 lentelė'!E11</f>
        <v>3202415.29</v>
      </c>
      <c r="G11" s="43">
        <f>'5 lentelė'!G11+'6 lentelė'!F11</f>
        <v>3202415.29</v>
      </c>
      <c r="H11" s="43">
        <f>'5 lentelė'!H11+'6 lentelė'!G11</f>
        <v>3202415.29</v>
      </c>
      <c r="I11" s="43">
        <f>'5 lentelė'!I11+'6 lentelė'!H11</f>
        <v>3202415.29</v>
      </c>
      <c r="J11" s="43">
        <f>'5 lentelė'!J11+'6 lentelė'!I11</f>
        <v>3202415.29</v>
      </c>
    </row>
    <row r="12" spans="2:10" ht="25.5" x14ac:dyDescent="0.25">
      <c r="B12" s="94" t="s">
        <v>532</v>
      </c>
      <c r="C12" s="43" t="s">
        <v>878</v>
      </c>
      <c r="D12" s="43">
        <f>'5 lentelė'!D12</f>
        <v>0</v>
      </c>
      <c r="E12" s="43">
        <f>'5 lentelė'!E12+'6 lentelė'!D12</f>
        <v>0</v>
      </c>
      <c r="F12" s="43">
        <f>'5 lentelė'!F12+'6 lentelė'!E12</f>
        <v>0</v>
      </c>
      <c r="G12" s="94">
        <f>'5 lentelė'!G12+'6 lentelė'!F12</f>
        <v>761599.68</v>
      </c>
      <c r="H12" s="94">
        <f>'5 lentelė'!H12+'6 lentelė'!G12</f>
        <v>761599.68</v>
      </c>
      <c r="I12" s="94">
        <f>'5 lentelė'!I12+'6 lentelė'!H12</f>
        <v>761599.68</v>
      </c>
      <c r="J12" s="94">
        <f>'5 lentelė'!J12+'6 lentelė'!I12</f>
        <v>761599.68</v>
      </c>
    </row>
    <row r="13" spans="2:10" x14ac:dyDescent="0.25">
      <c r="B13" s="94" t="s">
        <v>537</v>
      </c>
      <c r="C13" s="43" t="s">
        <v>880</v>
      </c>
      <c r="D13" s="43">
        <f>'5 lentelė'!D13</f>
        <v>0</v>
      </c>
      <c r="E13" s="43">
        <f>'5 lentelė'!E13+'6 lentelė'!D13</f>
        <v>0</v>
      </c>
      <c r="F13" s="43">
        <f>'5 lentelė'!F13+'6 lentelė'!E13</f>
        <v>0</v>
      </c>
      <c r="G13" s="43">
        <f>'5 lentelė'!G13+'6 lentelė'!F13</f>
        <v>1057912.3600000001</v>
      </c>
      <c r="H13" s="43">
        <f>'5 lentelė'!H13+'6 lentelė'!G13</f>
        <v>2077658.52</v>
      </c>
      <c r="I13" s="43">
        <f>'5 lentelė'!I13+'6 lentelė'!H13</f>
        <v>3255386.8899999997</v>
      </c>
      <c r="J13" s="43">
        <f>'5 lentelė'!J13+'6 lentelė'!I13</f>
        <v>3840118.9299999997</v>
      </c>
    </row>
    <row r="14" spans="2:10" ht="25.5" x14ac:dyDescent="0.25">
      <c r="B14" s="94" t="s">
        <v>556</v>
      </c>
      <c r="C14" s="43" t="s">
        <v>881</v>
      </c>
      <c r="D14" s="43">
        <f>'5 lentelė'!D14</f>
        <v>0</v>
      </c>
      <c r="E14" s="43">
        <f>'5 lentelė'!E14+'6 lentelė'!D14</f>
        <v>0</v>
      </c>
      <c r="F14" s="43">
        <f>'5 lentelė'!F14+'6 lentelė'!E14</f>
        <v>0</v>
      </c>
      <c r="G14" s="43">
        <f>'5 lentelė'!G14+'6 lentelė'!F14</f>
        <v>0</v>
      </c>
      <c r="H14" s="43">
        <f>'5 lentelė'!H14+'6 lentelė'!G14</f>
        <v>308052</v>
      </c>
      <c r="I14" s="43">
        <f>'5 lentelė'!I14+'6 lentelė'!H14</f>
        <v>395552</v>
      </c>
      <c r="J14" s="43">
        <f>'5 lentelė'!J14+'6 lentelė'!I14</f>
        <v>395552</v>
      </c>
    </row>
    <row r="15" spans="2:10" ht="25.5" x14ac:dyDescent="0.25">
      <c r="B15" s="94" t="s">
        <v>564</v>
      </c>
      <c r="C15" s="43" t="s">
        <v>882</v>
      </c>
      <c r="D15" s="43">
        <f>'5 lentelė'!D15</f>
        <v>0</v>
      </c>
      <c r="E15" s="43">
        <f>'5 lentelė'!E15+'6 lentelė'!D15</f>
        <v>0</v>
      </c>
      <c r="F15" s="43">
        <f>'5 lentelė'!F15+'6 lentelė'!E15</f>
        <v>0</v>
      </c>
      <c r="G15" s="43">
        <f>'5 lentelė'!G15+'6 lentelė'!F15</f>
        <v>0</v>
      </c>
      <c r="H15" s="43">
        <f>'5 lentelė'!H15+'6 lentelė'!G15</f>
        <v>0</v>
      </c>
      <c r="I15" s="43">
        <f>'5 lentelė'!I15+'6 lentelė'!H15</f>
        <v>1210838</v>
      </c>
      <c r="J15" s="94">
        <f>'5 lentelė'!J15+'6 lentelė'!I15</f>
        <v>1210838</v>
      </c>
    </row>
    <row r="16" spans="2:10" x14ac:dyDescent="0.25">
      <c r="B16" s="94" t="s">
        <v>565</v>
      </c>
      <c r="C16" s="43" t="s">
        <v>883</v>
      </c>
      <c r="D16" s="43">
        <f>'5 lentelė'!D16</f>
        <v>0</v>
      </c>
      <c r="E16" s="43">
        <f>'5 lentelė'!E16+'6 lentelė'!D16</f>
        <v>0</v>
      </c>
      <c r="F16" s="43">
        <f>'5 lentelė'!F16+'6 lentelė'!E16</f>
        <v>17000</v>
      </c>
      <c r="G16" s="43">
        <f>'5 lentelė'!G16+'6 lentelė'!F16</f>
        <v>30345</v>
      </c>
      <c r="H16" s="43">
        <f>'5 lentelė'!H16+'6 lentelė'!G16</f>
        <v>30345</v>
      </c>
      <c r="I16" s="43">
        <f>'5 lentelė'!I16+'6 lentelė'!H16</f>
        <v>30345</v>
      </c>
      <c r="J16" s="94">
        <f>'5 lentelė'!J16+'6 lentelė'!I16</f>
        <v>30345</v>
      </c>
    </row>
    <row r="17" spans="2:10" ht="38.25" x14ac:dyDescent="0.25">
      <c r="B17" s="94" t="s">
        <v>576</v>
      </c>
      <c r="C17" s="43" t="s">
        <v>884</v>
      </c>
      <c r="D17" s="43">
        <f>'5 lentelė'!D17</f>
        <v>0</v>
      </c>
      <c r="E17" s="43">
        <f>'5 lentelė'!E17+'6 lentelė'!D17</f>
        <v>0</v>
      </c>
      <c r="F17" s="43">
        <f>'5 lentelė'!F17+'6 lentelė'!E17</f>
        <v>0</v>
      </c>
      <c r="G17" s="94">
        <f>'5 lentelė'!G17+'6 lentelė'!F17</f>
        <v>0</v>
      </c>
      <c r="H17" s="94">
        <f>'5 lentelė'!H17+'6 lentelė'!G17</f>
        <v>0</v>
      </c>
      <c r="I17" s="94">
        <f>'5 lentelė'!I17+'6 lentelė'!H17</f>
        <v>1012900</v>
      </c>
      <c r="J17" s="94">
        <f>'5 lentelė'!J17+'6 lentelė'!I17</f>
        <v>1012900</v>
      </c>
    </row>
    <row r="18" spans="2:10" ht="25.5" x14ac:dyDescent="0.25">
      <c r="B18" s="94" t="s">
        <v>580</v>
      </c>
      <c r="C18" s="43" t="s">
        <v>885</v>
      </c>
      <c r="D18" s="43">
        <f>'5 lentelė'!D18</f>
        <v>0</v>
      </c>
      <c r="E18" s="43">
        <f>'5 lentelė'!E18+'6 lentelė'!D18</f>
        <v>0</v>
      </c>
      <c r="F18" s="43">
        <f>'5 lentelė'!F18+'6 lentelė'!E18</f>
        <v>0</v>
      </c>
      <c r="G18" s="94">
        <f>'5 lentelė'!G18+'6 lentelė'!F18</f>
        <v>1186384.8800000001</v>
      </c>
      <c r="H18" s="94">
        <f>'5 lentelė'!H18+'6 lentelė'!G18</f>
        <v>1186384.8800000001</v>
      </c>
      <c r="I18" s="94">
        <f>'5 lentelė'!I18+'6 lentelė'!H18</f>
        <v>1186384.8800000001</v>
      </c>
      <c r="J18" s="94">
        <f>'5 lentelė'!J18+'6 lentelė'!I18</f>
        <v>1186384.8800000001</v>
      </c>
    </row>
    <row r="19" spans="2:10" ht="38.25" x14ac:dyDescent="0.25">
      <c r="B19" s="94" t="s">
        <v>886</v>
      </c>
      <c r="C19" s="43" t="s">
        <v>887</v>
      </c>
      <c r="D19" s="43">
        <f>'5 lentelė'!D19</f>
        <v>0</v>
      </c>
      <c r="E19" s="43">
        <f>'5 lentelė'!E19+'6 lentelė'!D19</f>
        <v>0</v>
      </c>
      <c r="F19" s="43">
        <f>'5 lentelė'!F19+'6 lentelė'!E19</f>
        <v>0</v>
      </c>
      <c r="G19" s="94">
        <f>'5 lentelė'!G19+'6 lentelė'!F19</f>
        <v>253936.88</v>
      </c>
      <c r="H19" s="94">
        <f>'5 lentelė'!H19+'6 lentelė'!G19</f>
        <v>253936.88</v>
      </c>
      <c r="I19" s="94">
        <f>'5 lentelė'!I19+'6 lentelė'!H19</f>
        <v>544242.71</v>
      </c>
      <c r="J19" s="94">
        <f>'5 lentelė'!J19+'6 lentelė'!I19</f>
        <v>544242.71</v>
      </c>
    </row>
    <row r="20" spans="2:10" s="84" customFormat="1" ht="51" x14ac:dyDescent="0.25">
      <c r="B20" s="94" t="s">
        <v>604</v>
      </c>
      <c r="C20" s="94" t="s">
        <v>888</v>
      </c>
      <c r="D20" s="94">
        <f>'5 lentelė'!D20</f>
        <v>0</v>
      </c>
      <c r="E20" s="94">
        <f>'5 lentelė'!E20+'6 lentelė'!D20</f>
        <v>0</v>
      </c>
      <c r="F20" s="94">
        <f>'5 lentelė'!F20+'6 lentelė'!E20</f>
        <v>6050727.4300000006</v>
      </c>
      <c r="G20" s="94">
        <f>'5 lentelė'!G20+'6 lentelė'!F20</f>
        <v>6874561.830000001</v>
      </c>
      <c r="H20" s="94">
        <f>'5 lentelė'!H20+'6 lentelė'!G20</f>
        <v>6874561.830000001</v>
      </c>
      <c r="I20" s="94">
        <f>'5 lentelė'!I20+'6 lentelė'!H20</f>
        <v>8835826.0500000007</v>
      </c>
      <c r="J20" s="94">
        <f>'5 lentelė'!J20+'6 lentelė'!I20</f>
        <v>8835826.0500000007</v>
      </c>
    </row>
    <row r="21" spans="2:10" ht="25.5" x14ac:dyDescent="0.25">
      <c r="B21" s="94" t="s">
        <v>617</v>
      </c>
      <c r="C21" s="43" t="s">
        <v>889</v>
      </c>
      <c r="D21" s="43">
        <f>'5 lentelė'!D21</f>
        <v>0</v>
      </c>
      <c r="E21" s="43">
        <f>'5 lentelė'!E21+'6 lentelė'!D21</f>
        <v>0</v>
      </c>
      <c r="F21" s="43">
        <f>'5 lentelė'!F21+'6 lentelė'!E21</f>
        <v>0</v>
      </c>
      <c r="G21" s="94">
        <f>'5 lentelė'!G21+'6 lentelė'!F21</f>
        <v>1745587.0899999999</v>
      </c>
      <c r="H21" s="94">
        <f>'5 lentelė'!H21+'6 lentelė'!G21</f>
        <v>1745587.0899999999</v>
      </c>
      <c r="I21" s="94">
        <f>'5 lentelė'!I21+'6 lentelė'!H21</f>
        <v>1745587.0899999999</v>
      </c>
      <c r="J21" s="94">
        <f>'5 lentelė'!J21+'6 lentelė'!I21</f>
        <v>1745587.0899999999</v>
      </c>
    </row>
    <row r="22" spans="2:10" ht="25.5" x14ac:dyDescent="0.25">
      <c r="B22" s="94" t="s">
        <v>622</v>
      </c>
      <c r="C22" s="43" t="s">
        <v>890</v>
      </c>
      <c r="D22" s="43">
        <f>'5 lentelė'!D22</f>
        <v>0</v>
      </c>
      <c r="E22" s="43">
        <f>'5 lentelė'!E22+'6 lentelė'!D22</f>
        <v>0</v>
      </c>
      <c r="F22" s="43">
        <f>'5 lentelė'!F22+'6 lentelė'!E22</f>
        <v>504770</v>
      </c>
      <c r="G22" s="94">
        <f>'5 lentelė'!G22+'6 lentelė'!F22</f>
        <v>2832050.34</v>
      </c>
      <c r="H22" s="94">
        <f>'5 lentelė'!H22+'6 lentelė'!G22</f>
        <v>2832050.34</v>
      </c>
      <c r="I22" s="94">
        <f>'5 lentelė'!I22+'6 lentelė'!H22</f>
        <v>2832050.34</v>
      </c>
      <c r="J22" s="94">
        <f>'5 lentelė'!J22+'6 lentelė'!I22</f>
        <v>2832050.34</v>
      </c>
    </row>
    <row r="23" spans="2:10" s="84" customFormat="1" x14ac:dyDescent="0.25">
      <c r="B23" s="94" t="s">
        <v>637</v>
      </c>
      <c r="C23" s="94" t="s">
        <v>891</v>
      </c>
      <c r="D23" s="94">
        <f>'5 lentelė'!D23</f>
        <v>0</v>
      </c>
      <c r="E23" s="94">
        <f>'5 lentelė'!E23+'6 lentelė'!D23</f>
        <v>0</v>
      </c>
      <c r="F23" s="94">
        <f>'5 lentelė'!F23+'6 lentelė'!E23</f>
        <v>203010.14</v>
      </c>
      <c r="G23" s="94">
        <f>'5 lentelė'!G23+'6 lentelė'!F23</f>
        <v>1578880.98</v>
      </c>
      <c r="H23" s="94">
        <f>'5 lentelė'!H23+'6 lentelė'!G23</f>
        <v>1936938.1099999999</v>
      </c>
      <c r="I23" s="94">
        <f>'5 lentelė'!I23+'6 lentelė'!H23</f>
        <v>2456109.11</v>
      </c>
      <c r="J23" s="94">
        <f>'5 lentelė'!J23+'6 lentelė'!I23</f>
        <v>2956109.11</v>
      </c>
    </row>
    <row r="24" spans="2:10" x14ac:dyDescent="0.25">
      <c r="B24" s="94" t="s">
        <v>932</v>
      </c>
      <c r="C24" s="43" t="s">
        <v>934</v>
      </c>
      <c r="D24" s="43">
        <f>'5 lentelė'!D24</f>
        <v>0</v>
      </c>
      <c r="E24" s="43">
        <f>'5 lentelė'!E24+'6 lentelė'!D24</f>
        <v>0</v>
      </c>
      <c r="F24" s="43">
        <f>'5 lentelė'!F24+'6 lentelė'!E24</f>
        <v>0</v>
      </c>
      <c r="G24" s="94">
        <f>'5 lentelė'!G24+'6 lentelė'!F24</f>
        <v>0</v>
      </c>
      <c r="H24" s="94">
        <f>'5 lentelė'!H24+'6 lentelė'!G24</f>
        <v>1737720</v>
      </c>
      <c r="I24" s="94">
        <f>'5 lentelė'!I24+'6 lentelė'!H24</f>
        <v>1737720</v>
      </c>
      <c r="J24" s="94">
        <f>'5 lentelė'!J24+'6 lentelė'!I24</f>
        <v>1737720</v>
      </c>
    </row>
    <row r="25" spans="2:10" ht="25.5" x14ac:dyDescent="0.25">
      <c r="B25" s="94" t="s">
        <v>657</v>
      </c>
      <c r="C25" s="43" t="s">
        <v>892</v>
      </c>
      <c r="D25" s="43">
        <f>'5 lentelė'!D25</f>
        <v>0</v>
      </c>
      <c r="E25" s="43">
        <f>'5 lentelė'!E25+'6 lentelė'!D25</f>
        <v>0</v>
      </c>
      <c r="F25" s="43">
        <f>'5 lentelė'!F25+'6 lentelė'!E25</f>
        <v>0</v>
      </c>
      <c r="G25" s="94">
        <f>'5 lentelė'!G25+'6 lentelė'!F25</f>
        <v>0</v>
      </c>
      <c r="H25" s="94">
        <f>'5 lentelė'!H25+'6 lentelė'!G25</f>
        <v>386380</v>
      </c>
      <c r="I25" s="94">
        <f>'5 lentelė'!I25+'6 lentelė'!H25</f>
        <v>386380</v>
      </c>
      <c r="J25" s="94">
        <f>'5 lentelė'!J25+'6 lentelė'!I25</f>
        <v>386380</v>
      </c>
    </row>
    <row r="26" spans="2:10" ht="25.5" x14ac:dyDescent="0.25">
      <c r="B26" s="94" t="s">
        <v>661</v>
      </c>
      <c r="C26" s="43" t="s">
        <v>893</v>
      </c>
      <c r="D26" s="43">
        <f>'5 lentelė'!D26</f>
        <v>0</v>
      </c>
      <c r="E26" s="43">
        <f>'5 lentelė'!E26+'6 lentelė'!D26</f>
        <v>0</v>
      </c>
      <c r="F26" s="43">
        <f>'5 lentelė'!F26+'6 lentelė'!E26</f>
        <v>0</v>
      </c>
      <c r="G26" s="94">
        <f>'5 lentelė'!G26+'6 lentelė'!F26</f>
        <v>0</v>
      </c>
      <c r="H26" s="94">
        <f>'5 lentelė'!H26+'6 lentelė'!G26</f>
        <v>830529</v>
      </c>
      <c r="I26" s="94">
        <f>'5 lentelė'!I26+'6 lentelė'!H26</f>
        <v>830529</v>
      </c>
      <c r="J26" s="94">
        <f>'5 lentelė'!J26+'6 lentelė'!I26</f>
        <v>830529</v>
      </c>
    </row>
    <row r="27" spans="2:10" ht="25.5" x14ac:dyDescent="0.25">
      <c r="B27" s="94" t="s">
        <v>668</v>
      </c>
      <c r="C27" s="43" t="s">
        <v>894</v>
      </c>
      <c r="D27" s="43">
        <f>'5 lentelė'!D27</f>
        <v>0</v>
      </c>
      <c r="E27" s="43">
        <f>'5 lentelė'!E27+'6 lentelė'!D27</f>
        <v>0</v>
      </c>
      <c r="F27" s="43">
        <f>'5 lentelė'!F27+'6 lentelė'!E27</f>
        <v>0</v>
      </c>
      <c r="G27" s="94">
        <f>'5 lentelė'!G27+'6 lentelė'!F27</f>
        <v>1132178</v>
      </c>
      <c r="H27" s="94">
        <f>'5 lentelė'!H27+'6 lentelė'!G27</f>
        <v>1404711</v>
      </c>
      <c r="I27" s="94">
        <f>'5 lentelė'!I27+'6 lentelė'!H27</f>
        <v>1404711</v>
      </c>
      <c r="J27" s="94">
        <f>'5 lentelė'!J27+'6 lentelė'!I27</f>
        <v>1404711</v>
      </c>
    </row>
    <row r="28" spans="2:10" ht="38.25" x14ac:dyDescent="0.25">
      <c r="B28" s="94" t="s">
        <v>897</v>
      </c>
      <c r="C28" s="43" t="s">
        <v>896</v>
      </c>
      <c r="D28" s="43">
        <f>'5 lentelė'!D28</f>
        <v>0</v>
      </c>
      <c r="E28" s="43">
        <f>'5 lentelė'!E28+'6 lentelė'!D28</f>
        <v>0</v>
      </c>
      <c r="F28" s="43">
        <f>'5 lentelė'!F28+'6 lentelė'!E28</f>
        <v>0</v>
      </c>
      <c r="G28" s="94">
        <f>'5 lentelė'!G28+'6 lentelė'!F28</f>
        <v>0</v>
      </c>
      <c r="H28" s="94">
        <f>'5 lentelė'!H28+'6 lentelė'!G28</f>
        <v>569499.17999999993</v>
      </c>
      <c r="I28" s="94">
        <f>'5 lentelė'!I28+'6 lentelė'!H28</f>
        <v>1105449.1399999999</v>
      </c>
      <c r="J28" s="94">
        <f>'5 lentelė'!J28+'6 lentelė'!I28</f>
        <v>1105449.1399999999</v>
      </c>
    </row>
    <row r="29" spans="2:10" ht="63.75" x14ac:dyDescent="0.25">
      <c r="B29" s="94" t="s">
        <v>674</v>
      </c>
      <c r="C29" s="43" t="s">
        <v>895</v>
      </c>
      <c r="D29" s="43">
        <f>'5 lentelė'!D29</f>
        <v>0</v>
      </c>
      <c r="E29" s="43">
        <f>'5 lentelė'!E29+'6 lentelė'!D29</f>
        <v>0</v>
      </c>
      <c r="F29" s="43">
        <f>'5 lentelė'!F29+'6 lentelė'!E29</f>
        <v>0</v>
      </c>
      <c r="G29" s="94">
        <f>'5 lentelė'!G29+'6 lentelė'!F29</f>
        <v>0</v>
      </c>
      <c r="H29" s="94">
        <f>'5 lentelė'!H29+'6 lentelė'!G29</f>
        <v>35150.640000000007</v>
      </c>
      <c r="I29" s="94">
        <f>'5 lentelė'!I29+'6 lentelė'!H29</f>
        <v>35150.640000000007</v>
      </c>
      <c r="J29" s="94">
        <f>'5 lentelė'!J29+'6 lentelė'!I29</f>
        <v>35150.640000000007</v>
      </c>
    </row>
    <row r="30" spans="2:10" ht="25.5" x14ac:dyDescent="0.25">
      <c r="B30" s="94" t="s">
        <v>691</v>
      </c>
      <c r="C30" s="43" t="s">
        <v>898</v>
      </c>
      <c r="D30" s="43">
        <f>'5 lentelė'!D30</f>
        <v>0</v>
      </c>
      <c r="E30" s="43">
        <f>'5 lentelė'!E30+'6 lentelė'!D30</f>
        <v>0</v>
      </c>
      <c r="F30" s="43">
        <f>'5 lentelė'!F30+'6 lentelė'!E30</f>
        <v>0</v>
      </c>
      <c r="G30" s="94">
        <f>'5 lentelė'!G30+'6 lentelė'!F30</f>
        <v>0</v>
      </c>
      <c r="H30" s="94">
        <f>'5 lentelė'!H30+'6 lentelė'!G30</f>
        <v>823862.25</v>
      </c>
      <c r="I30" s="94">
        <f>'5 lentelė'!I30+'6 lentelė'!H30</f>
        <v>823862.25</v>
      </c>
      <c r="J30" s="94">
        <f>'5 lentelė'!J30+'6 lentelė'!I30</f>
        <v>823862.25</v>
      </c>
    </row>
    <row r="31" spans="2:10" ht="25.5" x14ac:dyDescent="0.25">
      <c r="B31" s="94" t="s">
        <v>900</v>
      </c>
      <c r="C31" s="43" t="s">
        <v>899</v>
      </c>
      <c r="D31" s="43">
        <f>'5 lentelė'!D31</f>
        <v>0</v>
      </c>
      <c r="E31" s="43">
        <f>'5 lentelė'!E31+'6 lentelė'!D31</f>
        <v>0</v>
      </c>
      <c r="F31" s="43">
        <f>'5 lentelė'!F31+'6 lentelė'!E31</f>
        <v>0</v>
      </c>
      <c r="G31" s="94">
        <f>'5 lentelė'!G31+'6 lentelė'!F31</f>
        <v>43254.8</v>
      </c>
      <c r="H31" s="94">
        <f>'5 lentelė'!H31+'6 lentelė'!G31</f>
        <v>810748.00000000012</v>
      </c>
      <c r="I31" s="94">
        <f>'5 lentelė'!I31+'6 lentelė'!H31</f>
        <v>810748.00000000012</v>
      </c>
      <c r="J31" s="94">
        <f>'5 lentelė'!J31+'6 lentelė'!I31</f>
        <v>810748.00000000012</v>
      </c>
    </row>
    <row r="32" spans="2:10" x14ac:dyDescent="0.25">
      <c r="B32" s="94" t="s">
        <v>715</v>
      </c>
      <c r="C32" s="43" t="s">
        <v>901</v>
      </c>
      <c r="D32" s="43">
        <f>'5 lentelė'!D32</f>
        <v>0</v>
      </c>
      <c r="E32" s="43">
        <f>'5 lentelė'!E32+'6 lentelė'!D32</f>
        <v>0</v>
      </c>
      <c r="F32" s="43">
        <f>'5 lentelė'!F32+'6 lentelė'!E32</f>
        <v>2194566.25</v>
      </c>
      <c r="G32" s="94">
        <f>'5 lentelė'!G32+'6 lentelė'!F32</f>
        <v>2194566.25</v>
      </c>
      <c r="H32" s="94">
        <f>'5 lentelė'!H32+'6 lentelė'!G32</f>
        <v>2194566.25</v>
      </c>
      <c r="I32" s="94">
        <f>'5 lentelė'!I32+'6 lentelė'!H32</f>
        <v>2194566.25</v>
      </c>
      <c r="J32" s="94">
        <f>'5 lentelė'!J32+'6 lentelė'!I32</f>
        <v>2194566.25</v>
      </c>
    </row>
    <row r="33" spans="2:10" ht="25.5" x14ac:dyDescent="0.25">
      <c r="B33" s="94" t="s">
        <v>725</v>
      </c>
      <c r="C33" s="43" t="s">
        <v>902</v>
      </c>
      <c r="D33" s="43">
        <f>'5 lentelė'!D33</f>
        <v>0</v>
      </c>
      <c r="E33" s="43">
        <f>'5 lentelė'!E33+'6 lentelė'!D33</f>
        <v>0</v>
      </c>
      <c r="F33" s="43">
        <f>'5 lentelė'!F33+'6 lentelė'!E33</f>
        <v>0</v>
      </c>
      <c r="G33" s="94">
        <f>'5 lentelė'!G33+'6 lentelė'!F33</f>
        <v>4741187.91</v>
      </c>
      <c r="H33" s="94">
        <f>'5 lentelė'!H33+'6 lentelė'!G33</f>
        <v>4766852.91</v>
      </c>
      <c r="I33" s="94">
        <f>'5 lentelė'!I33+'6 lentelė'!H33</f>
        <v>4766852.91</v>
      </c>
      <c r="J33" s="94">
        <f>'5 lentelė'!J33+'6 lentelė'!I33</f>
        <v>4766852.91</v>
      </c>
    </row>
    <row r="34" spans="2:10" ht="25.5" x14ac:dyDescent="0.25">
      <c r="B34" s="96" t="s">
        <v>743</v>
      </c>
      <c r="C34" s="18" t="s">
        <v>903</v>
      </c>
      <c r="D34" s="18">
        <f>'5 lentelė'!D34</f>
        <v>0</v>
      </c>
      <c r="E34" s="18">
        <f>'5 lentelė'!E34+'6 lentelė'!D34</f>
        <v>0</v>
      </c>
      <c r="F34" s="18">
        <f>'5 lentelė'!F34+'6 lentelė'!E34</f>
        <v>0</v>
      </c>
      <c r="G34" s="94">
        <f>'5 lentelė'!G34+'6 lentelė'!F34</f>
        <v>0</v>
      </c>
      <c r="H34" s="94">
        <f>'5 lentelė'!H34+'6 lentelė'!G34</f>
        <v>698761.69</v>
      </c>
      <c r="I34" s="94">
        <f>'5 lentelė'!I34+'6 lentelė'!H34</f>
        <v>892524.67999999993</v>
      </c>
      <c r="J34" s="94">
        <f>'5 lentelė'!J34+'6 lentelė'!I34</f>
        <v>892524.67999999993</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B1" zoomScale="90" zoomScaleNormal="90" workbookViewId="0">
      <selection activeCell="J17" sqref="J17"/>
    </sheetView>
  </sheetViews>
  <sheetFormatPr defaultRowHeight="15" x14ac:dyDescent="0.25"/>
  <cols>
    <col min="1" max="1" width="5" style="4" customWidth="1"/>
    <col min="3" max="3" width="74.140625" customWidth="1"/>
    <col min="4" max="4" width="28.42578125" customWidth="1"/>
    <col min="5" max="5" width="35.42578125" customWidth="1"/>
    <col min="6" max="6" width="34.7109375" customWidth="1"/>
    <col min="8" max="8" width="11.5703125" bestFit="1" customWidth="1"/>
  </cols>
  <sheetData>
    <row r="1" spans="2:8" ht="15.75" x14ac:dyDescent="0.25">
      <c r="E1" s="190" t="s">
        <v>141</v>
      </c>
      <c r="F1" s="190"/>
      <c r="G1" s="190"/>
      <c r="H1" s="190"/>
    </row>
    <row r="2" spans="2:8" ht="15.75" x14ac:dyDescent="0.25">
      <c r="E2" s="191" t="s">
        <v>24</v>
      </c>
      <c r="F2" s="191"/>
      <c r="G2" s="191"/>
      <c r="H2" s="191"/>
    </row>
    <row r="3" spans="2:8" ht="15.75" x14ac:dyDescent="0.25">
      <c r="E3" s="191" t="s">
        <v>25</v>
      </c>
      <c r="F3" s="191"/>
      <c r="G3" s="191"/>
      <c r="H3" s="191"/>
    </row>
    <row r="6" spans="2:8" ht="15.75" x14ac:dyDescent="0.25">
      <c r="B6" s="1" t="s">
        <v>135</v>
      </c>
    </row>
    <row r="7" spans="2:8" ht="78" customHeight="1" x14ac:dyDescent="0.25">
      <c r="B7" s="17" t="s">
        <v>72</v>
      </c>
      <c r="C7" s="17" t="s">
        <v>82</v>
      </c>
      <c r="D7" s="17" t="s">
        <v>138</v>
      </c>
      <c r="E7" s="17" t="s">
        <v>83</v>
      </c>
      <c r="F7" s="17" t="s">
        <v>84</v>
      </c>
      <c r="H7" s="40"/>
    </row>
    <row r="8" spans="2:8" ht="15" customHeight="1" x14ac:dyDescent="0.25">
      <c r="B8" s="18">
        <v>1</v>
      </c>
      <c r="C8" s="9" t="s">
        <v>85</v>
      </c>
      <c r="D8" s="59">
        <v>0</v>
      </c>
      <c r="E8" s="59">
        <v>0</v>
      </c>
      <c r="F8" s="58">
        <v>0</v>
      </c>
    </row>
    <row r="9" spans="2:8" ht="17.25" customHeight="1" x14ac:dyDescent="0.25">
      <c r="B9" s="18">
        <v>2</v>
      </c>
      <c r="C9" s="9" t="s">
        <v>86</v>
      </c>
      <c r="D9" s="59">
        <v>0</v>
      </c>
      <c r="E9" s="59">
        <v>0</v>
      </c>
      <c r="F9" s="58">
        <v>0</v>
      </c>
    </row>
    <row r="10" spans="2:8" ht="15" customHeight="1" x14ac:dyDescent="0.25">
      <c r="B10" s="18">
        <v>3</v>
      </c>
      <c r="C10" s="9" t="s">
        <v>87</v>
      </c>
      <c r="D10" s="59">
        <v>0</v>
      </c>
      <c r="E10" s="59">
        <v>0</v>
      </c>
      <c r="F10" s="58">
        <v>0</v>
      </c>
    </row>
    <row r="11" spans="2:8" ht="15" customHeight="1" x14ac:dyDescent="0.25">
      <c r="B11" s="18">
        <v>4</v>
      </c>
      <c r="C11" s="9" t="s">
        <v>88</v>
      </c>
      <c r="D11" s="59">
        <v>1</v>
      </c>
      <c r="E11" s="59">
        <v>0</v>
      </c>
      <c r="F11" s="58">
        <v>0</v>
      </c>
    </row>
    <row r="12" spans="2:8" ht="15" customHeight="1" x14ac:dyDescent="0.25">
      <c r="B12" s="18">
        <v>5</v>
      </c>
      <c r="C12" s="9" t="s">
        <v>89</v>
      </c>
      <c r="D12" s="59">
        <v>6</v>
      </c>
      <c r="E12" s="59">
        <v>6</v>
      </c>
      <c r="F12" s="58">
        <f>'2 lentelė'!Q96+'2 lentelė'!Q97+'2 lentelė'!Q98+'2 lentelė'!Q99+'2 lentelė'!Q100+'2 lentelė'!Q101</f>
        <v>2832050.34</v>
      </c>
    </row>
    <row r="13" spans="2:8" ht="15" customHeight="1" x14ac:dyDescent="0.25">
      <c r="B13" s="18">
        <v>6</v>
      </c>
      <c r="C13" s="9" t="s">
        <v>90</v>
      </c>
      <c r="D13" s="59">
        <v>6</v>
      </c>
      <c r="E13" s="59">
        <v>3</v>
      </c>
      <c r="F13" s="58">
        <f>'2 lentelė'!Q81+'2 lentelė'!Q83+'2 lentelė'!Q87</f>
        <v>2675241.77</v>
      </c>
    </row>
    <row r="14" spans="2:8" s="84" customFormat="1" ht="15" customHeight="1" x14ac:dyDescent="0.25">
      <c r="B14" s="96">
        <v>7</v>
      </c>
      <c r="C14" s="23" t="s">
        <v>91</v>
      </c>
      <c r="D14" s="51">
        <v>9</v>
      </c>
      <c r="E14" s="51">
        <v>8</v>
      </c>
      <c r="F14" s="171">
        <f>'2 lentelė'!Q82+'2 lentelė'!Q84+'2 lentelė'!Q85+'2 lentelė'!Q86+'2 lentelė'!Q88+'2 lentelė'!Q89+'2 lentelė'!Q90+'2 lentelė'!Q91</f>
        <v>6160584.2800000003</v>
      </c>
    </row>
    <row r="15" spans="2:8" ht="15" customHeight="1" x14ac:dyDescent="0.25">
      <c r="B15" s="18">
        <v>8</v>
      </c>
      <c r="C15" s="9" t="s">
        <v>92</v>
      </c>
      <c r="D15" s="59">
        <v>2</v>
      </c>
      <c r="E15" s="59">
        <v>2</v>
      </c>
      <c r="F15" s="85">
        <f>'2 lentelė'!Q93+'2 lentelė'!Q94</f>
        <v>1745587.0899999999</v>
      </c>
    </row>
    <row r="16" spans="2:8" ht="15" customHeight="1" x14ac:dyDescent="0.25">
      <c r="B16" s="18">
        <v>9</v>
      </c>
      <c r="C16" s="9" t="s">
        <v>93</v>
      </c>
      <c r="D16" s="59">
        <v>0</v>
      </c>
      <c r="E16" s="59">
        <v>0</v>
      </c>
      <c r="F16" s="171">
        <v>0</v>
      </c>
    </row>
    <row r="17" spans="2:8" ht="15" customHeight="1" x14ac:dyDescent="0.25">
      <c r="B17" s="43">
        <v>10</v>
      </c>
      <c r="C17" s="58" t="s">
        <v>94</v>
      </c>
      <c r="D17" s="59">
        <v>1</v>
      </c>
      <c r="E17" s="59">
        <v>1</v>
      </c>
      <c r="F17" s="85">
        <f>'2 lentelė'!Q64+'2 lentelė'!Q65</f>
        <v>1012900</v>
      </c>
    </row>
    <row r="18" spans="2:8" x14ac:dyDescent="0.25">
      <c r="B18" s="18">
        <v>11</v>
      </c>
      <c r="C18" s="9" t="s">
        <v>95</v>
      </c>
      <c r="D18" s="59">
        <v>2</v>
      </c>
      <c r="E18" s="59">
        <v>1</v>
      </c>
      <c r="F18" s="85">
        <f>'2 lentelė'!Q38</f>
        <v>291747.11</v>
      </c>
      <c r="G18" s="84"/>
    </row>
    <row r="19" spans="2:8" x14ac:dyDescent="0.25">
      <c r="B19" s="18">
        <v>12</v>
      </c>
      <c r="C19" s="9" t="s">
        <v>96</v>
      </c>
      <c r="D19" s="59">
        <v>12</v>
      </c>
      <c r="E19" s="59">
        <v>12</v>
      </c>
      <c r="F19" s="171">
        <f>'2 lentelė'!Q39+'2 lentelė'!Q40+'2 lentelė'!Q41+'2 lentelė'!Q42+'2 lentelė'!Q43+'2 lentelė'!Q44+'2 lentelė'!Q45+'2 lentelė'!Q46+'2 lentelė'!Q47+'2 lentelė'!Q48+'2 lentelė'!Q49+'2 lentelė'!Q50</f>
        <v>3548371.82</v>
      </c>
      <c r="G19" s="84"/>
      <c r="H19" s="40"/>
    </row>
    <row r="20" spans="2:8" ht="15" customHeight="1" x14ac:dyDescent="0.25">
      <c r="B20" s="18">
        <v>13</v>
      </c>
      <c r="C20" s="9" t="s">
        <v>97</v>
      </c>
      <c r="D20" s="59">
        <v>0</v>
      </c>
      <c r="E20" s="59">
        <v>0</v>
      </c>
      <c r="F20" s="85">
        <v>0</v>
      </c>
      <c r="G20" s="84"/>
    </row>
    <row r="21" spans="2:8" ht="15" customHeight="1" x14ac:dyDescent="0.25">
      <c r="B21" s="18">
        <v>14</v>
      </c>
      <c r="C21" s="9" t="s">
        <v>98</v>
      </c>
      <c r="D21" s="59">
        <v>0</v>
      </c>
      <c r="E21" s="59">
        <v>0</v>
      </c>
      <c r="F21" s="85">
        <v>0</v>
      </c>
      <c r="G21" s="84"/>
    </row>
    <row r="22" spans="2:8" ht="15" customHeight="1" x14ac:dyDescent="0.25">
      <c r="B22" s="18">
        <v>15</v>
      </c>
      <c r="C22" s="9" t="s">
        <v>99</v>
      </c>
      <c r="D22" s="59">
        <v>0</v>
      </c>
      <c r="E22" s="59">
        <v>0</v>
      </c>
      <c r="F22" s="85">
        <v>0</v>
      </c>
      <c r="G22" s="84"/>
    </row>
    <row r="23" spans="2:8" ht="15" customHeight="1" x14ac:dyDescent="0.25">
      <c r="B23" s="18">
        <v>16</v>
      </c>
      <c r="C23" s="9" t="s">
        <v>100</v>
      </c>
      <c r="D23" s="59">
        <v>0</v>
      </c>
      <c r="E23" s="59">
        <v>0</v>
      </c>
      <c r="F23" s="85">
        <v>0</v>
      </c>
      <c r="G23" s="84"/>
    </row>
    <row r="24" spans="2:8" ht="15" customHeight="1" x14ac:dyDescent="0.25">
      <c r="B24" s="18">
        <v>17</v>
      </c>
      <c r="C24" s="9" t="s">
        <v>101</v>
      </c>
      <c r="D24" s="59">
        <v>0</v>
      </c>
      <c r="E24" s="59">
        <v>0</v>
      </c>
      <c r="F24" s="85">
        <v>0</v>
      </c>
      <c r="G24" s="84"/>
    </row>
    <row r="25" spans="2:8" ht="15" customHeight="1" x14ac:dyDescent="0.25">
      <c r="B25" s="18">
        <v>18</v>
      </c>
      <c r="C25" s="9" t="s">
        <v>102</v>
      </c>
      <c r="D25" s="59">
        <v>0</v>
      </c>
      <c r="E25" s="59">
        <v>0</v>
      </c>
      <c r="F25" s="85">
        <v>0</v>
      </c>
      <c r="G25" s="84"/>
    </row>
    <row r="26" spans="2:8" ht="30" customHeight="1" x14ac:dyDescent="0.25">
      <c r="B26" s="18">
        <v>19</v>
      </c>
      <c r="C26" s="59" t="s">
        <v>1012</v>
      </c>
      <c r="D26" s="59">
        <v>6</v>
      </c>
      <c r="E26" s="59">
        <v>6</v>
      </c>
      <c r="F26" s="85">
        <f>'2 lentelė'!Q53+'2 lentelė'!Q54+'2 lentelė'!Q55+'2 lentelė'!Q56+'2 lentelė'!Q60+'2 lentelė'!Q62</f>
        <v>1606390</v>
      </c>
      <c r="G26" s="84"/>
    </row>
    <row r="27" spans="2:8" ht="15" customHeight="1" x14ac:dyDescent="0.25">
      <c r="B27" s="18">
        <v>20</v>
      </c>
      <c r="C27" s="58" t="s">
        <v>103</v>
      </c>
      <c r="D27" s="59">
        <v>0</v>
      </c>
      <c r="E27" s="59">
        <v>0</v>
      </c>
      <c r="F27" s="85">
        <v>0</v>
      </c>
      <c r="G27" s="84"/>
    </row>
    <row r="28" spans="2:8" ht="15" customHeight="1" x14ac:dyDescent="0.25">
      <c r="B28" s="18">
        <v>21</v>
      </c>
      <c r="C28" s="58" t="s">
        <v>104</v>
      </c>
      <c r="D28" s="59">
        <v>0</v>
      </c>
      <c r="E28" s="59">
        <v>0</v>
      </c>
      <c r="F28" s="85">
        <v>0</v>
      </c>
      <c r="G28" s="84"/>
    </row>
    <row r="29" spans="2:8" ht="15" customHeight="1" x14ac:dyDescent="0.25">
      <c r="B29" s="18">
        <v>22</v>
      </c>
      <c r="C29" s="59" t="s">
        <v>105</v>
      </c>
      <c r="D29" s="59">
        <v>3</v>
      </c>
      <c r="E29" s="59">
        <v>3</v>
      </c>
      <c r="F29" s="85">
        <f>'2 lentelė'!Q129+'2 lentelė'!Q130+'2 lentelė'!Q131</f>
        <v>830529</v>
      </c>
      <c r="G29" s="84"/>
    </row>
    <row r="30" spans="2:8" ht="15" customHeight="1" x14ac:dyDescent="0.25">
      <c r="B30" s="18">
        <v>23</v>
      </c>
      <c r="C30" s="59" t="s">
        <v>106</v>
      </c>
      <c r="D30" s="74">
        <v>1</v>
      </c>
      <c r="E30" s="74">
        <v>1</v>
      </c>
      <c r="F30" s="85">
        <f>'2 lentelė'!Q126+'2 lentelė'!Q127</f>
        <v>386380</v>
      </c>
      <c r="G30" s="84"/>
    </row>
    <row r="31" spans="2:8" ht="15" customHeight="1" x14ac:dyDescent="0.25">
      <c r="B31" s="18">
        <v>24</v>
      </c>
      <c r="C31" s="59" t="s">
        <v>107</v>
      </c>
      <c r="D31" s="59">
        <v>3</v>
      </c>
      <c r="E31" s="59">
        <v>3</v>
      </c>
      <c r="F31" s="85">
        <f>'2 lentelė'!Q24+'2 lentelė'!Q134+'2 lentelė'!Q135</f>
        <v>1845317.78</v>
      </c>
      <c r="G31" s="84"/>
    </row>
    <row r="32" spans="2:8" ht="15" customHeight="1" x14ac:dyDescent="0.25">
      <c r="B32" s="18">
        <v>25</v>
      </c>
      <c r="C32" s="59" t="s">
        <v>108</v>
      </c>
      <c r="D32" s="59">
        <v>4</v>
      </c>
      <c r="E32" s="59">
        <v>3</v>
      </c>
      <c r="F32" s="85">
        <f>'2 lentelė'!Q169+'2 lentelė'!Q170+'2 lentelė'!Q171</f>
        <v>987312.50000000012</v>
      </c>
      <c r="G32" s="84"/>
    </row>
    <row r="33" spans="2:7" ht="15" customHeight="1" x14ac:dyDescent="0.25">
      <c r="B33" s="18">
        <v>26</v>
      </c>
      <c r="C33" s="59" t="s">
        <v>109</v>
      </c>
      <c r="D33" s="59">
        <v>4</v>
      </c>
      <c r="E33" s="59">
        <v>3</v>
      </c>
      <c r="F33" s="85">
        <f>'2 lentelė'!Q172+'2 lentelė'!Q173+'2 lentelė'!Q174</f>
        <v>1207253.75</v>
      </c>
      <c r="G33" s="84"/>
    </row>
    <row r="34" spans="2:7" ht="15" customHeight="1" x14ac:dyDescent="0.25">
      <c r="B34" s="96">
        <v>27</v>
      </c>
      <c r="C34" s="59" t="s">
        <v>1001</v>
      </c>
      <c r="D34" s="59">
        <v>12</v>
      </c>
      <c r="E34" s="59">
        <v>12</v>
      </c>
      <c r="F34" s="171">
        <f>'2 lentelė'!Q164+'2 lentelė'!Q165+'2 lentelė'!Q166+'2 lentelė'!Q167+'2 lentelė'!Q139+'2 lentelė'!Q140+'2 lentelė'!Q141+'2 lentelė'!Q142+'2 lentelė'!Q143+'2 lentelė'!Q144+'2 lentelė'!Q145+'2 lentelė'!Q146</f>
        <v>1916197.14</v>
      </c>
      <c r="G34" s="84"/>
    </row>
    <row r="35" spans="2:7" s="84" customFormat="1" ht="25.5" customHeight="1" x14ac:dyDescent="0.25">
      <c r="B35" s="96">
        <v>28</v>
      </c>
      <c r="C35" s="51" t="s">
        <v>110</v>
      </c>
      <c r="D35" s="51">
        <v>5</v>
      </c>
      <c r="E35" s="51">
        <v>4</v>
      </c>
      <c r="F35" s="85">
        <f>'2 lentelė'!Q12+'2 lentelė'!Q20+'2 lentelė'!Q21+'2 lentelė'!Q22</f>
        <v>2796412.3899999997</v>
      </c>
    </row>
    <row r="36" spans="2:7" s="84" customFormat="1" ht="25.5" customHeight="1" x14ac:dyDescent="0.25">
      <c r="B36" s="96">
        <v>29</v>
      </c>
      <c r="C36" s="51" t="s">
        <v>111</v>
      </c>
      <c r="D36" s="51">
        <v>12</v>
      </c>
      <c r="E36" s="51">
        <v>5</v>
      </c>
      <c r="F36" s="85">
        <f>'2 lentelė'!Q15+'2 lentelė'!Q17+'2 lentelė'!Q18+'2 lentelė'!Q19+'2 lentelė'!Q31</f>
        <v>3191135.02</v>
      </c>
    </row>
    <row r="37" spans="2:7" ht="25.5" customHeight="1" x14ac:dyDescent="0.25">
      <c r="B37" s="96">
        <v>30</v>
      </c>
      <c r="C37" s="51" t="s">
        <v>112</v>
      </c>
      <c r="D37" s="51">
        <v>5</v>
      </c>
      <c r="E37" s="51">
        <v>5</v>
      </c>
      <c r="F37" s="85">
        <f>'2 lentelė'!Q14+'2 lentelė'!Q16+'2 lentelė'!Q23+'2 lentelė'!Q26+'2 lentelė'!Q28</f>
        <v>2883880.3</v>
      </c>
      <c r="G37" s="84"/>
    </row>
    <row r="38" spans="2:7" ht="25.5" customHeight="1" x14ac:dyDescent="0.25">
      <c r="B38" s="96">
        <v>31</v>
      </c>
      <c r="C38" s="51" t="s">
        <v>113</v>
      </c>
      <c r="D38" s="51">
        <v>1</v>
      </c>
      <c r="E38" s="51">
        <v>1</v>
      </c>
      <c r="F38" s="85">
        <f>'2 lentelė'!Q27</f>
        <v>2333555.31</v>
      </c>
      <c r="G38" s="84"/>
    </row>
    <row r="39" spans="2:7" ht="25.5" customHeight="1" x14ac:dyDescent="0.25">
      <c r="B39" s="96">
        <v>32</v>
      </c>
      <c r="C39" s="51" t="s">
        <v>114</v>
      </c>
      <c r="D39" s="51">
        <v>3</v>
      </c>
      <c r="E39" s="51">
        <v>1</v>
      </c>
      <c r="F39" s="85">
        <f>'2 lentelė'!Q13</f>
        <v>571713.55000000005</v>
      </c>
      <c r="G39" s="84"/>
    </row>
    <row r="40" spans="2:7" ht="15" customHeight="1" x14ac:dyDescent="0.25">
      <c r="B40" s="96">
        <v>33</v>
      </c>
      <c r="C40" s="51" t="s">
        <v>115</v>
      </c>
      <c r="D40" s="51">
        <v>6</v>
      </c>
      <c r="E40" s="51">
        <v>6</v>
      </c>
      <c r="F40" s="85">
        <f>'2 lentelė'!Q177+'2 lentelė'!Q178+'2 lentelė'!Q179+'2 lentelė'!Q180+'2 lentelė'!Q181+'2 lentelė'!Q182</f>
        <v>4766852.91</v>
      </c>
      <c r="G40" s="84"/>
    </row>
    <row r="41" spans="2:7" ht="25.5" customHeight="1" x14ac:dyDescent="0.25">
      <c r="B41" s="96">
        <v>34</v>
      </c>
      <c r="C41" s="51" t="s">
        <v>116</v>
      </c>
      <c r="D41" s="51">
        <v>1</v>
      </c>
      <c r="E41" s="51">
        <v>1</v>
      </c>
      <c r="F41" s="85">
        <f>'2 lentelė'!Q11</f>
        <v>1441407.94</v>
      </c>
      <c r="G41" s="84"/>
    </row>
    <row r="42" spans="2:7" ht="15" customHeight="1" x14ac:dyDescent="0.25">
      <c r="B42" s="96">
        <v>35</v>
      </c>
      <c r="C42" s="59" t="s">
        <v>117</v>
      </c>
      <c r="D42" s="59">
        <v>0</v>
      </c>
      <c r="E42" s="59">
        <v>0</v>
      </c>
      <c r="F42" s="85">
        <v>0</v>
      </c>
      <c r="G42" s="84"/>
    </row>
    <row r="43" spans="2:7" ht="15" customHeight="1" x14ac:dyDescent="0.25">
      <c r="B43" s="96">
        <v>36</v>
      </c>
      <c r="C43" s="59" t="s">
        <v>118</v>
      </c>
      <c r="D43" s="59">
        <v>1</v>
      </c>
      <c r="E43" s="59">
        <v>1</v>
      </c>
      <c r="F43" s="85">
        <f>'2 lentelė'!Q76+'2 lentelė'!Q116</f>
        <v>1991656.88</v>
      </c>
      <c r="G43" s="84"/>
    </row>
    <row r="44" spans="2:7" ht="15" customHeight="1" x14ac:dyDescent="0.25">
      <c r="B44" s="96">
        <v>37</v>
      </c>
      <c r="C44" s="59" t="s">
        <v>119</v>
      </c>
      <c r="D44" s="59">
        <v>0</v>
      </c>
      <c r="E44" s="59">
        <v>0</v>
      </c>
      <c r="F44" s="85">
        <v>0</v>
      </c>
      <c r="G44" s="84"/>
    </row>
    <row r="45" spans="2:7" s="84" customFormat="1" ht="15" customHeight="1" x14ac:dyDescent="0.25">
      <c r="B45" s="96">
        <v>38</v>
      </c>
      <c r="C45" s="51" t="s">
        <v>120</v>
      </c>
      <c r="D45" s="51">
        <v>10</v>
      </c>
      <c r="E45" s="51">
        <v>10</v>
      </c>
      <c r="F45" s="85">
        <f>'2 lentelė'!Q103+'2 lentelė'!Q104+'2 lentelė'!Q105+'2 lentelė'!Q106+'2 lentelė'!Q107+'2 lentelė'!Q108+'2 lentelė'!Q109+'2 lentelė'!Q110+'2 lentelė'!Q111+'2 lentelė'!Q112</f>
        <v>2956109.11</v>
      </c>
    </row>
    <row r="46" spans="2:7" ht="15" customHeight="1" x14ac:dyDescent="0.25">
      <c r="B46" s="96">
        <v>39</v>
      </c>
      <c r="C46" s="59" t="s">
        <v>121</v>
      </c>
      <c r="D46" s="59">
        <v>0</v>
      </c>
      <c r="E46" s="59">
        <v>0</v>
      </c>
      <c r="F46" s="85">
        <v>0</v>
      </c>
    </row>
    <row r="47" spans="2:7" ht="15" customHeight="1" x14ac:dyDescent="0.25">
      <c r="B47" s="96">
        <v>40</v>
      </c>
      <c r="C47" s="59" t="s">
        <v>122</v>
      </c>
      <c r="D47" s="59">
        <v>0</v>
      </c>
      <c r="E47" s="59">
        <v>0</v>
      </c>
      <c r="F47" s="85">
        <v>0</v>
      </c>
    </row>
    <row r="48" spans="2:7" ht="15" customHeight="1" x14ac:dyDescent="0.25">
      <c r="B48" s="96">
        <v>41</v>
      </c>
      <c r="C48" s="59" t="s">
        <v>123</v>
      </c>
      <c r="D48" s="59">
        <v>0</v>
      </c>
      <c r="E48" s="59">
        <v>0</v>
      </c>
      <c r="F48" s="85">
        <v>0</v>
      </c>
    </row>
    <row r="49" spans="2:6" ht="15" customHeight="1" x14ac:dyDescent="0.25">
      <c r="B49" s="96">
        <v>42</v>
      </c>
      <c r="C49" s="59" t="s">
        <v>124</v>
      </c>
      <c r="D49" s="59">
        <v>4</v>
      </c>
      <c r="E49" s="59">
        <v>2</v>
      </c>
      <c r="F49" s="85">
        <f>'2 lentelė'!Q76+'2 lentelė'!Q77</f>
        <v>544242.71</v>
      </c>
    </row>
    <row r="50" spans="2:6" ht="15" customHeight="1" x14ac:dyDescent="0.25">
      <c r="B50" s="96">
        <v>43</v>
      </c>
      <c r="C50" s="58" t="s">
        <v>125</v>
      </c>
      <c r="D50" s="59">
        <v>1</v>
      </c>
      <c r="E50" s="59">
        <v>0</v>
      </c>
      <c r="F50" s="85">
        <v>0</v>
      </c>
    </row>
    <row r="51" spans="2:6" ht="15" customHeight="1" x14ac:dyDescent="0.25">
      <c r="B51" s="96">
        <v>44</v>
      </c>
      <c r="C51" s="59" t="s">
        <v>126</v>
      </c>
      <c r="D51" s="59">
        <v>4</v>
      </c>
      <c r="E51" s="59">
        <v>4</v>
      </c>
      <c r="F51" s="85">
        <f>'2 lentelė'!Q70+'2 lentelė'!Q71+'2 lentelė'!Q72+'2 lentelė'!Q73</f>
        <v>1186384.8800000001</v>
      </c>
    </row>
    <row r="52" spans="2:6" ht="15" customHeight="1" x14ac:dyDescent="0.25">
      <c r="B52" s="18">
        <v>45</v>
      </c>
      <c r="C52" s="59" t="s">
        <v>127</v>
      </c>
      <c r="D52" s="59">
        <v>0</v>
      </c>
      <c r="E52" s="59">
        <v>0</v>
      </c>
      <c r="F52" s="85">
        <v>0</v>
      </c>
    </row>
    <row r="53" spans="2:6" ht="15" customHeight="1" x14ac:dyDescent="0.25">
      <c r="B53" s="18">
        <v>46</v>
      </c>
      <c r="C53" s="59" t="s">
        <v>128</v>
      </c>
      <c r="D53" s="59">
        <v>0</v>
      </c>
      <c r="E53" s="59">
        <v>0</v>
      </c>
      <c r="F53" s="85">
        <v>0</v>
      </c>
    </row>
    <row r="54" spans="2:6" ht="15" customHeight="1" x14ac:dyDescent="0.25">
      <c r="B54" s="18">
        <v>47</v>
      </c>
      <c r="C54" s="59" t="s">
        <v>129</v>
      </c>
      <c r="D54" s="59">
        <v>12</v>
      </c>
      <c r="E54" s="59">
        <v>12</v>
      </c>
      <c r="F54" s="85">
        <f>'2 lentelė'!Q148+'2 lentelė'!Q149+'2 lentelė'!Q150+'2 lentelė'!Q151+'2 lentelė'!Q152+'2 lentelė'!Q153+'2 lentelė'!Q156+'2 lentelė'!Q157+'2 lentelė'!Q158++'2 lentelė'!Q159+'2 lentelė'!Q160+'2 lentelė'!Q161</f>
        <v>859012.89</v>
      </c>
    </row>
    <row r="55" spans="2:6" ht="15" customHeight="1" x14ac:dyDescent="0.25">
      <c r="B55" s="18">
        <v>48</v>
      </c>
      <c r="C55" s="59" t="s">
        <v>130</v>
      </c>
      <c r="D55" s="59">
        <v>0</v>
      </c>
      <c r="E55" s="59">
        <v>0</v>
      </c>
      <c r="F55" s="85">
        <v>0</v>
      </c>
    </row>
    <row r="56" spans="2:6" ht="15" customHeight="1" x14ac:dyDescent="0.25">
      <c r="B56" s="18">
        <v>49</v>
      </c>
      <c r="C56" s="58" t="s">
        <v>131</v>
      </c>
      <c r="D56" s="59">
        <v>7</v>
      </c>
      <c r="E56" s="59">
        <v>7</v>
      </c>
      <c r="F56" s="85">
        <f>'2 lentelė'!Q185+'2 lentelė'!Q186+'2 lentelė'!Q187+'2 lentelė'!Q188+'2 lentelė'!Q189+'2 lentelė'!Q190+'2 lentelė'!Q191</f>
        <v>892524.67999999993</v>
      </c>
    </row>
    <row r="57" spans="2:6" ht="15" customHeight="1" x14ac:dyDescent="0.25">
      <c r="B57" s="18">
        <v>50</v>
      </c>
      <c r="C57" s="58" t="s">
        <v>132</v>
      </c>
      <c r="D57" s="59">
        <v>3</v>
      </c>
      <c r="E57" s="59">
        <v>2</v>
      </c>
      <c r="F57" s="85">
        <f>'2 lentelė'!Q61+'2 lentelė'!Q59</f>
        <v>30345</v>
      </c>
    </row>
    <row r="58" spans="2:6" ht="25.5" customHeight="1" x14ac:dyDescent="0.25">
      <c r="B58" s="18">
        <v>51</v>
      </c>
      <c r="C58" s="13" t="s">
        <v>133</v>
      </c>
      <c r="D58" s="59">
        <v>1</v>
      </c>
      <c r="E58" s="59">
        <v>1</v>
      </c>
      <c r="F58" s="85">
        <f>'2 lentelė'!L121</f>
        <v>7000000</v>
      </c>
    </row>
    <row r="59" spans="2:6" ht="25.5" customHeight="1" x14ac:dyDescent="0.25">
      <c r="B59" s="18">
        <v>52</v>
      </c>
      <c r="C59" s="13" t="s">
        <v>134</v>
      </c>
      <c r="D59" s="59">
        <v>0</v>
      </c>
      <c r="E59" s="59">
        <v>0</v>
      </c>
      <c r="F59" s="58">
        <v>0</v>
      </c>
    </row>
  </sheetData>
  <mergeCells count="3">
    <mergeCell ref="E1:H1"/>
    <mergeCell ref="E2:H2"/>
    <mergeCell ref="E3:H3"/>
  </mergeCells>
  <pageMargins left="0.7" right="0.7" top="0.75" bottom="0.75" header="0.3" footer="0.3"/>
  <pageSetup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opLeftCell="A10" workbookViewId="0">
      <selection activeCell="R21" sqref="R21"/>
    </sheetView>
  </sheetViews>
  <sheetFormatPr defaultRowHeight="15" x14ac:dyDescent="0.25"/>
  <cols>
    <col min="3" max="3" width="36.140625" customWidth="1"/>
  </cols>
  <sheetData>
    <row r="1" spans="2:15" ht="15.75" x14ac:dyDescent="0.25">
      <c r="K1" s="195" t="s">
        <v>141</v>
      </c>
      <c r="L1" s="195"/>
      <c r="M1" s="195"/>
      <c r="N1" s="195"/>
    </row>
    <row r="2" spans="2:15" ht="15.75" x14ac:dyDescent="0.25">
      <c r="K2" s="195" t="s">
        <v>24</v>
      </c>
      <c r="L2" s="195"/>
      <c r="M2" s="195"/>
      <c r="N2" s="44"/>
    </row>
    <row r="3" spans="2:15" ht="15.75" x14ac:dyDescent="0.25">
      <c r="K3" s="195" t="s">
        <v>938</v>
      </c>
      <c r="L3" s="195"/>
      <c r="M3" s="195"/>
      <c r="N3" s="44"/>
    </row>
    <row r="5" spans="2:15" s="49" customFormat="1" x14ac:dyDescent="0.25"/>
    <row r="6" spans="2:15" s="49" customFormat="1" ht="15.75" x14ac:dyDescent="0.25">
      <c r="B6" s="196" t="s">
        <v>939</v>
      </c>
      <c r="C6" s="196"/>
      <c r="D6" s="196"/>
      <c r="E6" s="196"/>
      <c r="F6" s="196"/>
      <c r="G6" s="196"/>
      <c r="H6" s="196"/>
      <c r="I6" s="196"/>
      <c r="J6" s="196"/>
      <c r="K6" s="196"/>
    </row>
    <row r="7" spans="2:15" s="49" customFormat="1" x14ac:dyDescent="0.25"/>
    <row r="8" spans="2:15" s="49" customFormat="1" ht="15.75" x14ac:dyDescent="0.25">
      <c r="B8" s="64" t="s">
        <v>940</v>
      </c>
      <c r="C8" s="70"/>
      <c r="D8" s="70"/>
      <c r="E8" s="70"/>
      <c r="F8" s="70"/>
      <c r="G8" s="70"/>
      <c r="H8" s="70"/>
      <c r="I8" s="70"/>
      <c r="J8" s="70"/>
    </row>
    <row r="9" spans="2:15" s="49" customFormat="1" x14ac:dyDescent="0.25"/>
    <row r="10" spans="2:15" s="49" customFormat="1" ht="15.75" x14ac:dyDescent="0.25">
      <c r="B10" s="71" t="s">
        <v>72</v>
      </c>
      <c r="C10" s="71" t="s">
        <v>941</v>
      </c>
      <c r="D10" s="71" t="s">
        <v>74</v>
      </c>
      <c r="E10" s="71">
        <v>2014</v>
      </c>
      <c r="F10" s="71">
        <v>2015</v>
      </c>
      <c r="G10" s="71">
        <v>2016</v>
      </c>
      <c r="H10" s="71">
        <v>2017</v>
      </c>
      <c r="I10" s="71">
        <v>2018</v>
      </c>
      <c r="J10" s="71">
        <v>2019</v>
      </c>
      <c r="K10" s="71">
        <v>2020</v>
      </c>
      <c r="L10" s="71">
        <v>2021</v>
      </c>
      <c r="M10" s="71">
        <v>2022</v>
      </c>
      <c r="N10" s="71">
        <v>2023</v>
      </c>
    </row>
    <row r="11" spans="2:15" s="49" customFormat="1" ht="39" x14ac:dyDescent="0.25">
      <c r="B11" s="47" t="s">
        <v>795</v>
      </c>
      <c r="C11" s="72" t="s">
        <v>798</v>
      </c>
      <c r="D11" s="47"/>
      <c r="E11" s="47">
        <v>0</v>
      </c>
      <c r="F11" s="47">
        <v>0</v>
      </c>
      <c r="G11" s="47">
        <v>0</v>
      </c>
      <c r="H11" s="47">
        <v>0</v>
      </c>
      <c r="I11" s="97">
        <v>0</v>
      </c>
      <c r="J11" s="97">
        <v>0</v>
      </c>
      <c r="K11" s="97">
        <f>'3 lentelė'!Q72+'3 lentelė'!Q73+'3 lentelė'!Q74+'3 lentelė'!Q75</f>
        <v>7400</v>
      </c>
      <c r="L11" s="97">
        <v>0</v>
      </c>
      <c r="M11" s="97">
        <v>0</v>
      </c>
      <c r="N11" s="97">
        <v>0</v>
      </c>
      <c r="O11" s="95"/>
    </row>
    <row r="12" spans="2:15" s="49" customFormat="1" ht="26.25" x14ac:dyDescent="0.25">
      <c r="B12" s="97" t="s">
        <v>778</v>
      </c>
      <c r="C12" s="98" t="s">
        <v>779</v>
      </c>
      <c r="D12" s="47"/>
      <c r="E12" s="47">
        <v>0</v>
      </c>
      <c r="F12" s="47">
        <v>0</v>
      </c>
      <c r="G12" s="47">
        <v>0</v>
      </c>
      <c r="H12" s="47">
        <v>0</v>
      </c>
      <c r="I12" s="97">
        <v>0</v>
      </c>
      <c r="J12" s="97">
        <f>'3 lentelė'!N42+'3 lentelė'!N43+'3 lentelė'!N44+'3 lentelė'!N46</f>
        <v>4.3090000000000002</v>
      </c>
      <c r="K12" s="143">
        <f>'3 lentelė'!N41+'3 lentelė'!N45+'3 lentelė'!N47+'3 lentelė'!N49</f>
        <v>1.2630000000000001</v>
      </c>
      <c r="L12" s="97">
        <v>0</v>
      </c>
      <c r="M12" s="143">
        <f>'3 lentelė'!N48</f>
        <v>1.2</v>
      </c>
      <c r="N12" s="97">
        <v>0</v>
      </c>
      <c r="O12" s="95"/>
    </row>
    <row r="13" spans="2:15" s="49" customFormat="1" ht="26.25" x14ac:dyDescent="0.25">
      <c r="B13" s="97" t="s">
        <v>840</v>
      </c>
      <c r="C13" s="98" t="s">
        <v>841</v>
      </c>
      <c r="D13" s="47"/>
      <c r="E13" s="47">
        <v>0</v>
      </c>
      <c r="F13" s="47">
        <v>0</v>
      </c>
      <c r="G13" s="47">
        <v>0</v>
      </c>
      <c r="H13" s="47">
        <v>0</v>
      </c>
      <c r="I13" s="97">
        <v>0</v>
      </c>
      <c r="J13" s="97">
        <f>'3 lentelė'!Q132+'3 lentelė'!Q133</f>
        <v>947</v>
      </c>
      <c r="K13" s="97">
        <f>'3 lentelė'!T128+'3 lentelė'!T129+'3 lentelė'!Q131+'3 lentelė'!Q136+'3 lentelė'!Q137</f>
        <v>1345</v>
      </c>
      <c r="L13" s="97">
        <v>0</v>
      </c>
      <c r="M13" s="97">
        <v>0</v>
      </c>
      <c r="N13" s="97">
        <v>0</v>
      </c>
      <c r="O13" s="95"/>
    </row>
    <row r="14" spans="2:15" s="95" customFormat="1" ht="26.25" x14ac:dyDescent="0.25">
      <c r="B14" s="97" t="s">
        <v>762</v>
      </c>
      <c r="C14" s="98" t="s">
        <v>904</v>
      </c>
      <c r="D14" s="97"/>
      <c r="E14" s="97">
        <v>0</v>
      </c>
      <c r="F14" s="97">
        <v>0</v>
      </c>
      <c r="G14" s="97">
        <v>0</v>
      </c>
      <c r="H14" s="97">
        <v>0</v>
      </c>
      <c r="I14" s="97">
        <f>'3 lentelė'!N15+'3 lentelė'!N28+'3 lentelė'!N29+'3 lentelė'!N30</f>
        <v>248930</v>
      </c>
      <c r="J14" s="97">
        <f>'3 lentelė'!N14+'3 lentelė'!N17+'3 lentelė'!N20+'3 lentelė'!N24+'3 lentelė'!N26</f>
        <v>214837.1</v>
      </c>
      <c r="K14" s="97">
        <f>'3 lentelė'!N13+'3 lentelė'!N18+'3 lentelė'!N19+'3 lentelė'!N21+'3 lentelė'!N22+'3 lentelė'!N23+'3 lentelė'!N25</f>
        <v>362557.1</v>
      </c>
      <c r="L14" s="97">
        <v>0</v>
      </c>
      <c r="M14" s="97">
        <f>'3 lentelė'!N16</f>
        <v>22620.5</v>
      </c>
      <c r="N14" s="97">
        <v>0</v>
      </c>
    </row>
    <row r="15" spans="2:15" s="95" customFormat="1" ht="26.25" x14ac:dyDescent="0.25">
      <c r="B15" s="97" t="s">
        <v>764</v>
      </c>
      <c r="C15" s="98" t="s">
        <v>905</v>
      </c>
      <c r="D15" s="97"/>
      <c r="E15" s="97">
        <v>0</v>
      </c>
      <c r="F15" s="97">
        <v>0</v>
      </c>
      <c r="G15" s="97">
        <v>0</v>
      </c>
      <c r="H15" s="97">
        <v>0</v>
      </c>
      <c r="I15" s="97">
        <f>'3 lentelė'!Q29</f>
        <v>800</v>
      </c>
      <c r="J15" s="97">
        <v>0</v>
      </c>
      <c r="K15" s="97">
        <f>'3 lentelė'!Q13+'3 lentelė'!Q19</f>
        <v>1130</v>
      </c>
      <c r="L15" s="97">
        <v>0</v>
      </c>
      <c r="M15" s="97">
        <v>0</v>
      </c>
      <c r="N15" s="97">
        <v>0</v>
      </c>
    </row>
    <row r="16" spans="2:15" s="95" customFormat="1" ht="26.25" x14ac:dyDescent="0.25">
      <c r="B16" s="97" t="s">
        <v>816</v>
      </c>
      <c r="C16" s="98" t="s">
        <v>817</v>
      </c>
      <c r="D16" s="97"/>
      <c r="E16" s="97">
        <v>0</v>
      </c>
      <c r="F16" s="97">
        <v>0</v>
      </c>
      <c r="G16" s="97">
        <v>0</v>
      </c>
      <c r="H16" s="97">
        <v>0</v>
      </c>
      <c r="I16" s="97">
        <v>0</v>
      </c>
      <c r="J16" s="97">
        <v>20.25</v>
      </c>
      <c r="K16" s="97">
        <v>0</v>
      </c>
      <c r="L16" s="97">
        <v>0</v>
      </c>
      <c r="M16" s="97">
        <v>0</v>
      </c>
      <c r="N16" s="97">
        <v>0</v>
      </c>
    </row>
    <row r="17" spans="2:14" s="95" customFormat="1" ht="39" x14ac:dyDescent="0.25">
      <c r="B17" s="97" t="s">
        <v>803</v>
      </c>
      <c r="C17" s="98" t="s">
        <v>812</v>
      </c>
      <c r="D17" s="97"/>
      <c r="E17" s="97">
        <v>0</v>
      </c>
      <c r="F17" s="97">
        <v>0</v>
      </c>
      <c r="G17" s="97">
        <v>0</v>
      </c>
      <c r="H17" s="97">
        <v>0</v>
      </c>
      <c r="I17" s="97">
        <v>0</v>
      </c>
      <c r="J17" s="97">
        <f>'3 lentelė'!Q83+'3 lentelė'!N86+'3 lentelė'!N87+'3 lentelė'!N88</f>
        <v>908</v>
      </c>
      <c r="K17" s="97">
        <f>'3 lentelė'!N84+'3 lentelė'!N91</f>
        <v>394</v>
      </c>
      <c r="L17" s="97">
        <f>'3 lentelė'!N92+'3 lentelė'!N93+'3 lentelė'!N90</f>
        <v>229</v>
      </c>
      <c r="M17" s="97">
        <v>0</v>
      </c>
      <c r="N17" s="97">
        <v>0</v>
      </c>
    </row>
    <row r="18" spans="2:14" s="95" customFormat="1" ht="51.75" x14ac:dyDescent="0.25">
      <c r="B18" s="97" t="s">
        <v>805</v>
      </c>
      <c r="C18" s="98" t="s">
        <v>906</v>
      </c>
      <c r="D18" s="97"/>
      <c r="E18" s="97">
        <v>0</v>
      </c>
      <c r="F18" s="97">
        <v>0</v>
      </c>
      <c r="G18" s="97">
        <v>0</v>
      </c>
      <c r="H18" s="97">
        <v>0</v>
      </c>
      <c r="I18" s="97">
        <v>0</v>
      </c>
      <c r="J18" s="97">
        <f>'3 lentelė'!T83</f>
        <v>1298</v>
      </c>
      <c r="K18" s="97">
        <v>0</v>
      </c>
      <c r="L18" s="97">
        <f>'3 lentelė'!Q90</f>
        <v>153</v>
      </c>
      <c r="M18" s="97">
        <v>0</v>
      </c>
      <c r="N18" s="97">
        <v>0</v>
      </c>
    </row>
    <row r="19" spans="2:14" s="95" customFormat="1" ht="39" x14ac:dyDescent="0.25">
      <c r="B19" s="97" t="s">
        <v>807</v>
      </c>
      <c r="C19" s="98" t="s">
        <v>907</v>
      </c>
      <c r="D19" s="97"/>
      <c r="E19" s="97">
        <v>0</v>
      </c>
      <c r="F19" s="97">
        <v>0</v>
      </c>
      <c r="G19" s="97">
        <v>0</v>
      </c>
      <c r="H19" s="97">
        <v>0</v>
      </c>
      <c r="I19" s="97">
        <v>0</v>
      </c>
      <c r="J19" s="97">
        <f>'3 lentelė'!W83+'3 lentelė'!Q86+'3 lentelė'!Q87+'3 lentelė'!Q88</f>
        <v>1237</v>
      </c>
      <c r="K19" s="97">
        <f>'3 lentelė'!Q84+'3 lentelė'!Q91</f>
        <v>646</v>
      </c>
      <c r="L19" s="97">
        <f>'3 lentelė'!T90+'3 lentelė'!Q92+'3 lentelė'!Q93</f>
        <v>353</v>
      </c>
      <c r="M19" s="97">
        <v>0</v>
      </c>
      <c r="N19" s="97">
        <v>0</v>
      </c>
    </row>
    <row r="20" spans="2:14" s="95" customFormat="1" ht="39" x14ac:dyDescent="0.25">
      <c r="B20" s="97" t="s">
        <v>809</v>
      </c>
      <c r="C20" s="98" t="s">
        <v>811</v>
      </c>
      <c r="D20" s="97"/>
      <c r="E20" s="97">
        <v>0</v>
      </c>
      <c r="F20" s="97">
        <v>0</v>
      </c>
      <c r="G20" s="97">
        <v>0</v>
      </c>
      <c r="H20" s="97">
        <v>0</v>
      </c>
      <c r="I20" s="97">
        <v>0</v>
      </c>
      <c r="J20" s="97">
        <f>'3 lentelė'!Z83+'3 lentelė'!T86+'3 lentelė'!T87</f>
        <v>571</v>
      </c>
      <c r="K20" s="97">
        <f>'3 lentelė'!T84</f>
        <v>42</v>
      </c>
      <c r="L20" s="97">
        <f>'3 lentelė'!T92+'3 lentelė'!W90</f>
        <v>215</v>
      </c>
      <c r="M20" s="97">
        <v>0</v>
      </c>
      <c r="N20" s="97">
        <v>0</v>
      </c>
    </row>
    <row r="21" spans="2:14" s="95" customFormat="1" ht="51.75" x14ac:dyDescent="0.25">
      <c r="B21" s="97" t="s">
        <v>824</v>
      </c>
      <c r="C21" s="98" t="s">
        <v>908</v>
      </c>
      <c r="D21" s="97"/>
      <c r="E21" s="97">
        <v>0</v>
      </c>
      <c r="F21" s="97">
        <v>0</v>
      </c>
      <c r="G21" s="97">
        <v>0</v>
      </c>
      <c r="H21" s="97">
        <v>0</v>
      </c>
      <c r="I21" s="97">
        <v>0</v>
      </c>
      <c r="J21" s="97">
        <v>0</v>
      </c>
      <c r="K21" s="97">
        <f>'3 lentelė'!N105</f>
        <v>2</v>
      </c>
      <c r="L21" s="97">
        <f>'3 lentelė'!Q113</f>
        <v>1</v>
      </c>
      <c r="M21" s="97">
        <f>'3 lentelė'!N114</f>
        <v>2</v>
      </c>
      <c r="N21" s="97">
        <v>0</v>
      </c>
    </row>
    <row r="22" spans="2:14" s="95" customFormat="1" ht="26.25" x14ac:dyDescent="0.25">
      <c r="B22" s="97" t="s">
        <v>826</v>
      </c>
      <c r="C22" s="98" t="s">
        <v>827</v>
      </c>
      <c r="D22" s="102"/>
      <c r="E22" s="97">
        <v>0</v>
      </c>
      <c r="F22" s="97">
        <v>0</v>
      </c>
      <c r="G22" s="97">
        <v>0</v>
      </c>
      <c r="H22" s="97">
        <v>0</v>
      </c>
      <c r="I22" s="97">
        <f>'3 lentelė'!N106+'3 lentelė'!N109</f>
        <v>97</v>
      </c>
      <c r="J22" s="97">
        <v>0</v>
      </c>
      <c r="K22" s="97">
        <f>'3 lentelė'!Q110+'3 lentelė'!N112</f>
        <v>37</v>
      </c>
      <c r="L22" s="97">
        <f>'3 lentelė'!N113</f>
        <v>21</v>
      </c>
      <c r="M22" s="97">
        <f>'3 lentelė'!Z114</f>
        <v>8</v>
      </c>
      <c r="N22" s="97">
        <v>0</v>
      </c>
    </row>
    <row r="23" spans="2:14" s="95" customFormat="1" ht="26.25" x14ac:dyDescent="0.25">
      <c r="B23" s="97" t="s">
        <v>865</v>
      </c>
      <c r="C23" s="98" t="s">
        <v>909</v>
      </c>
      <c r="D23" s="97"/>
      <c r="E23" s="97">
        <v>0</v>
      </c>
      <c r="F23" s="97">
        <v>0</v>
      </c>
      <c r="G23" s="97">
        <v>0</v>
      </c>
      <c r="H23" s="97">
        <v>0</v>
      </c>
      <c r="I23" s="97">
        <f>'3 lentelė'!N179+'3 lentelė'!N181</f>
        <v>2</v>
      </c>
      <c r="J23" s="97">
        <f>'3 lentelė'!N180+'3 lentelė'!N182+'3 lentelė'!N183+'3 lentelė'!N184</f>
        <v>4</v>
      </c>
      <c r="K23" s="97">
        <v>0</v>
      </c>
      <c r="L23" s="97">
        <v>0</v>
      </c>
      <c r="M23" s="97">
        <v>0</v>
      </c>
      <c r="N23" s="97">
        <v>0</v>
      </c>
    </row>
    <row r="24" spans="2:14" s="95" customFormat="1" ht="39" x14ac:dyDescent="0.25">
      <c r="B24" s="97" t="s">
        <v>859</v>
      </c>
      <c r="C24" s="98" t="s">
        <v>860</v>
      </c>
      <c r="D24" s="97"/>
      <c r="E24" s="97">
        <v>0</v>
      </c>
      <c r="F24" s="97">
        <v>0</v>
      </c>
      <c r="G24" s="97">
        <v>0</v>
      </c>
      <c r="H24" s="97">
        <v>0</v>
      </c>
      <c r="I24" s="97">
        <f>'3 lentelė'!Q168</f>
        <v>18</v>
      </c>
      <c r="J24" s="97">
        <f>'3 lentelė'!Q166+'3 lentelė'!Q167+'3 lentelė'!Q169</f>
        <v>118</v>
      </c>
      <c r="K24" s="97">
        <v>0</v>
      </c>
      <c r="L24" s="97">
        <v>0</v>
      </c>
      <c r="M24" s="97">
        <v>0</v>
      </c>
      <c r="N24" s="97">
        <v>0</v>
      </c>
    </row>
    <row r="25" spans="2:14" s="95" customFormat="1" x14ac:dyDescent="0.25">
      <c r="B25" s="97" t="s">
        <v>789</v>
      </c>
      <c r="C25" s="98" t="s">
        <v>910</v>
      </c>
      <c r="D25" s="97"/>
      <c r="E25" s="97">
        <v>0</v>
      </c>
      <c r="F25" s="97">
        <v>0</v>
      </c>
      <c r="G25" s="97">
        <v>1</v>
      </c>
      <c r="H25" s="97">
        <v>1</v>
      </c>
      <c r="I25" s="97">
        <v>0</v>
      </c>
      <c r="J25" s="97">
        <v>0</v>
      </c>
      <c r="K25" s="97">
        <v>0</v>
      </c>
      <c r="L25" s="97">
        <v>0</v>
      </c>
      <c r="M25" s="97">
        <v>0</v>
      </c>
      <c r="N25" s="97">
        <v>0</v>
      </c>
    </row>
    <row r="26" spans="2:14" s="95" customFormat="1" x14ac:dyDescent="0.25">
      <c r="B26" s="97" t="s">
        <v>773</v>
      </c>
      <c r="C26" s="98" t="s">
        <v>911</v>
      </c>
      <c r="D26" s="97"/>
      <c r="E26" s="97">
        <v>0</v>
      </c>
      <c r="F26" s="97">
        <v>0</v>
      </c>
      <c r="G26" s="97">
        <v>0</v>
      </c>
      <c r="H26" s="97">
        <v>0</v>
      </c>
      <c r="I26" s="97">
        <v>0</v>
      </c>
      <c r="J26" s="97">
        <f>'3 lentelė'!N40+'3 lentelė'!T42</f>
        <v>0.58299999999999996</v>
      </c>
      <c r="K26" s="97">
        <v>0</v>
      </c>
      <c r="L26" s="97">
        <v>0</v>
      </c>
      <c r="M26" s="97">
        <v>0</v>
      </c>
      <c r="N26" s="97">
        <v>0</v>
      </c>
    </row>
    <row r="27" spans="2:14" s="95" customFormat="1" ht="26.25" x14ac:dyDescent="0.25">
      <c r="B27" s="97" t="s">
        <v>850</v>
      </c>
      <c r="C27" s="98" t="s">
        <v>851</v>
      </c>
      <c r="D27" s="97"/>
      <c r="E27" s="97">
        <v>0</v>
      </c>
      <c r="F27" s="97">
        <v>0</v>
      </c>
      <c r="G27" s="97">
        <v>0</v>
      </c>
      <c r="H27" s="97">
        <v>0</v>
      </c>
      <c r="I27" s="97">
        <v>0</v>
      </c>
      <c r="J27" s="97">
        <v>0</v>
      </c>
      <c r="K27" s="97">
        <v>1</v>
      </c>
      <c r="L27" s="97">
        <v>0</v>
      </c>
      <c r="M27" s="97">
        <v>0</v>
      </c>
      <c r="N27" s="97">
        <v>0</v>
      </c>
    </row>
    <row r="28" spans="2:14" s="95" customFormat="1" ht="39" x14ac:dyDescent="0.25">
      <c r="B28" s="97" t="s">
        <v>836</v>
      </c>
      <c r="C28" s="98" t="s">
        <v>912</v>
      </c>
      <c r="D28" s="97"/>
      <c r="E28" s="97">
        <v>0</v>
      </c>
      <c r="F28" s="97">
        <v>0</v>
      </c>
      <c r="G28" s="97">
        <v>0</v>
      </c>
      <c r="H28" s="97">
        <v>0</v>
      </c>
      <c r="I28" s="97">
        <v>0</v>
      </c>
      <c r="J28" s="97">
        <v>0</v>
      </c>
      <c r="K28" s="97">
        <f>'3 lentelė'!N128+'3 lentelė'!N129</f>
        <v>1</v>
      </c>
      <c r="L28" s="97">
        <v>0</v>
      </c>
      <c r="M28" s="97">
        <v>0</v>
      </c>
      <c r="N28" s="97">
        <v>0</v>
      </c>
    </row>
    <row r="29" spans="2:14" s="95" customFormat="1" ht="26.25" x14ac:dyDescent="0.25">
      <c r="B29" s="97" t="s">
        <v>842</v>
      </c>
      <c r="C29" s="98" t="s">
        <v>913</v>
      </c>
      <c r="D29" s="97"/>
      <c r="E29" s="97">
        <v>0</v>
      </c>
      <c r="F29" s="97">
        <v>0</v>
      </c>
      <c r="G29" s="97">
        <v>0</v>
      </c>
      <c r="H29" s="97">
        <v>0</v>
      </c>
      <c r="I29" s="97">
        <v>0</v>
      </c>
      <c r="J29" s="97">
        <v>1</v>
      </c>
      <c r="K29" s="97">
        <v>2</v>
      </c>
      <c r="L29" s="97">
        <v>0</v>
      </c>
      <c r="M29" s="97">
        <v>0</v>
      </c>
      <c r="N29" s="97">
        <v>0</v>
      </c>
    </row>
    <row r="30" spans="2:14" s="95" customFormat="1" ht="26.25" x14ac:dyDescent="0.25">
      <c r="B30" s="97" t="s">
        <v>844</v>
      </c>
      <c r="C30" s="98" t="s">
        <v>845</v>
      </c>
      <c r="D30" s="97"/>
      <c r="E30" s="97">
        <v>0</v>
      </c>
      <c r="F30" s="97">
        <v>0</v>
      </c>
      <c r="G30" s="97">
        <v>0</v>
      </c>
      <c r="H30" s="97">
        <v>0</v>
      </c>
      <c r="I30" s="97">
        <v>0</v>
      </c>
      <c r="J30" s="97">
        <v>1</v>
      </c>
      <c r="K30" s="97">
        <v>1</v>
      </c>
      <c r="L30" s="97">
        <v>0</v>
      </c>
      <c r="M30" s="97">
        <v>0</v>
      </c>
      <c r="N30" s="97">
        <v>0</v>
      </c>
    </row>
    <row r="31" spans="2:14" s="95" customFormat="1" x14ac:dyDescent="0.25">
      <c r="B31" s="97" t="s">
        <v>799</v>
      </c>
      <c r="C31" s="98" t="s">
        <v>800</v>
      </c>
      <c r="D31" s="97"/>
      <c r="E31" s="97">
        <v>0</v>
      </c>
      <c r="F31" s="97">
        <v>0</v>
      </c>
      <c r="G31" s="97">
        <v>0</v>
      </c>
      <c r="H31" s="97">
        <v>0</v>
      </c>
      <c r="I31" s="97">
        <f>'3 lentelė'!N78</f>
        <v>86</v>
      </c>
      <c r="J31" s="97">
        <v>0</v>
      </c>
      <c r="K31" s="97">
        <f>'3 lentelė'!N79</f>
        <v>127</v>
      </c>
      <c r="L31" s="97">
        <v>0</v>
      </c>
      <c r="M31" s="97">
        <v>0</v>
      </c>
      <c r="N31" s="97">
        <v>0</v>
      </c>
    </row>
    <row r="32" spans="2:14" s="95" customFormat="1" x14ac:dyDescent="0.25">
      <c r="B32" s="97" t="s">
        <v>871</v>
      </c>
      <c r="C32" s="98" t="s">
        <v>872</v>
      </c>
      <c r="D32" s="97"/>
      <c r="E32" s="97">
        <v>0</v>
      </c>
      <c r="F32" s="97">
        <v>0</v>
      </c>
      <c r="G32" s="97">
        <v>0</v>
      </c>
      <c r="H32" s="97">
        <v>0</v>
      </c>
      <c r="I32" s="97">
        <v>0</v>
      </c>
      <c r="J32" s="97">
        <v>4</v>
      </c>
      <c r="K32" s="97">
        <v>0</v>
      </c>
      <c r="L32" s="97">
        <v>1</v>
      </c>
      <c r="M32" s="97">
        <v>0</v>
      </c>
      <c r="N32" s="97">
        <v>0</v>
      </c>
    </row>
    <row r="33" spans="1:14" s="95" customFormat="1" ht="51.75" x14ac:dyDescent="0.25">
      <c r="B33" s="97" t="s">
        <v>915</v>
      </c>
      <c r="C33" s="98" t="s">
        <v>916</v>
      </c>
      <c r="D33" s="97"/>
      <c r="E33" s="97">
        <v>0</v>
      </c>
      <c r="F33" s="97">
        <v>0</v>
      </c>
      <c r="G33" s="97">
        <v>0</v>
      </c>
      <c r="H33" s="97">
        <v>0</v>
      </c>
      <c r="I33" s="97">
        <v>0</v>
      </c>
      <c r="J33" s="97">
        <v>0</v>
      </c>
      <c r="K33" s="97">
        <v>0</v>
      </c>
      <c r="L33" s="97">
        <v>0</v>
      </c>
      <c r="M33" s="97">
        <v>0</v>
      </c>
      <c r="N33" s="97">
        <v>0</v>
      </c>
    </row>
    <row r="34" spans="1:14" s="95" customFormat="1" ht="26.25" x14ac:dyDescent="0.25">
      <c r="B34" s="97" t="s">
        <v>781</v>
      </c>
      <c r="C34" s="98" t="s">
        <v>782</v>
      </c>
      <c r="D34" s="97"/>
      <c r="E34" s="97">
        <v>0</v>
      </c>
      <c r="F34" s="97">
        <v>0</v>
      </c>
      <c r="G34" s="97">
        <v>0</v>
      </c>
      <c r="H34" s="97">
        <v>0</v>
      </c>
      <c r="I34" s="97">
        <v>0</v>
      </c>
      <c r="J34" s="97">
        <f>'3 lentelė'!N58</f>
        <v>0.55000000000000004</v>
      </c>
      <c r="K34" s="97">
        <f>'3 lentelė'!N55+'3 lentelė'!N56</f>
        <v>1.06</v>
      </c>
      <c r="L34" s="97">
        <v>0</v>
      </c>
      <c r="M34" s="97">
        <v>0</v>
      </c>
      <c r="N34" s="97">
        <v>0</v>
      </c>
    </row>
    <row r="35" spans="1:14" s="95" customFormat="1" ht="26.25" x14ac:dyDescent="0.25">
      <c r="B35" s="97" t="s">
        <v>917</v>
      </c>
      <c r="C35" s="98" t="s">
        <v>785</v>
      </c>
      <c r="D35" s="97"/>
      <c r="E35" s="97">
        <v>0</v>
      </c>
      <c r="F35" s="97">
        <v>0</v>
      </c>
      <c r="G35" s="97">
        <v>0</v>
      </c>
      <c r="H35" s="97">
        <v>0</v>
      </c>
      <c r="I35" s="97">
        <v>0</v>
      </c>
      <c r="J35" s="97">
        <v>0</v>
      </c>
      <c r="K35" s="143">
        <f>'3 lentelė'!Q56+'3 lentelė'!N57</f>
        <v>1.6600000000000001</v>
      </c>
      <c r="L35" s="97">
        <v>0</v>
      </c>
      <c r="M35" s="97">
        <v>0</v>
      </c>
      <c r="N35" s="97">
        <v>0</v>
      </c>
    </row>
    <row r="36" spans="1:14" s="95" customFormat="1" x14ac:dyDescent="0.25">
      <c r="B36" s="97" t="s">
        <v>918</v>
      </c>
      <c r="C36" s="98" t="s">
        <v>919</v>
      </c>
      <c r="D36" s="97"/>
      <c r="E36" s="97">
        <v>0</v>
      </c>
      <c r="F36" s="97">
        <v>0</v>
      </c>
      <c r="G36" s="97">
        <v>0</v>
      </c>
      <c r="H36" s="97">
        <v>0</v>
      </c>
      <c r="I36" s="97">
        <v>0</v>
      </c>
      <c r="J36" s="97">
        <v>0</v>
      </c>
      <c r="K36" s="97">
        <f>'3 lentelė'!N62+'3 lentelė'!N64</f>
        <v>3</v>
      </c>
      <c r="L36" s="97">
        <v>0</v>
      </c>
      <c r="M36" s="97">
        <v>0</v>
      </c>
      <c r="N36" s="97">
        <v>0</v>
      </c>
    </row>
    <row r="37" spans="1:14" s="95" customFormat="1" ht="26.25" x14ac:dyDescent="0.25">
      <c r="B37" s="97" t="s">
        <v>791</v>
      </c>
      <c r="C37" s="98" t="s">
        <v>920</v>
      </c>
      <c r="D37" s="97"/>
      <c r="E37" s="97">
        <v>0</v>
      </c>
      <c r="F37" s="97">
        <v>0</v>
      </c>
      <c r="G37" s="97">
        <v>0</v>
      </c>
      <c r="H37" s="97">
        <v>0</v>
      </c>
      <c r="I37" s="97">
        <v>0</v>
      </c>
      <c r="J37" s="97">
        <v>0</v>
      </c>
      <c r="K37" s="97">
        <v>0</v>
      </c>
      <c r="L37" s="97">
        <f>'3 lentelė'!N67</f>
        <v>4</v>
      </c>
      <c r="M37" s="97">
        <v>0</v>
      </c>
      <c r="N37" s="97">
        <v>0</v>
      </c>
    </row>
    <row r="38" spans="1:14" s="95" customFormat="1" ht="39" x14ac:dyDescent="0.25">
      <c r="B38" s="97" t="s">
        <v>814</v>
      </c>
      <c r="C38" s="98" t="s">
        <v>815</v>
      </c>
      <c r="D38" s="97"/>
      <c r="E38" s="97">
        <v>0</v>
      </c>
      <c r="F38" s="97">
        <v>0</v>
      </c>
      <c r="G38" s="97">
        <v>0</v>
      </c>
      <c r="H38" s="97">
        <v>0</v>
      </c>
      <c r="I38" s="97">
        <f>'3 lentelė'!N96</f>
        <v>71.92</v>
      </c>
      <c r="J38" s="97">
        <f>'3 lentelė'!N95</f>
        <v>52.58</v>
      </c>
      <c r="K38" s="97">
        <v>0</v>
      </c>
      <c r="L38" s="97">
        <v>0</v>
      </c>
      <c r="M38" s="97">
        <v>0</v>
      </c>
      <c r="N38" s="97">
        <v>0</v>
      </c>
    </row>
    <row r="39" spans="1:14" s="95" customFormat="1" ht="26.25" x14ac:dyDescent="0.25">
      <c r="B39" s="97" t="s">
        <v>819</v>
      </c>
      <c r="C39" s="98" t="s">
        <v>823</v>
      </c>
      <c r="D39" s="97"/>
      <c r="E39" s="97">
        <v>0</v>
      </c>
      <c r="F39" s="97">
        <v>0</v>
      </c>
      <c r="G39" s="97">
        <v>0</v>
      </c>
      <c r="H39" s="97">
        <v>0</v>
      </c>
      <c r="I39" s="97">
        <v>0</v>
      </c>
      <c r="J39" s="97">
        <f>'3 lentelė'!N98+'3 lentelė'!N99+'3 lentelė'!N100+'3 lentelė'!N101+'3 lentelė'!N102+'3 lentelė'!N103</f>
        <v>7708.75</v>
      </c>
      <c r="K39" s="97">
        <v>0</v>
      </c>
      <c r="L39" s="97">
        <v>0</v>
      </c>
      <c r="M39" s="97">
        <v>0</v>
      </c>
      <c r="N39" s="97">
        <v>0</v>
      </c>
    </row>
    <row r="40" spans="1:14" s="95" customFormat="1" ht="26.25" x14ac:dyDescent="0.25">
      <c r="B40" s="97" t="s">
        <v>801</v>
      </c>
      <c r="C40" s="98" t="s">
        <v>802</v>
      </c>
      <c r="D40" s="97"/>
      <c r="E40" s="97">
        <v>0</v>
      </c>
      <c r="F40" s="97">
        <v>0</v>
      </c>
      <c r="G40" s="97">
        <v>0</v>
      </c>
      <c r="H40" s="97">
        <v>0</v>
      </c>
      <c r="I40" s="97">
        <f>'3 lentelė'!N85</f>
        <v>19.579999999999998</v>
      </c>
      <c r="J40" s="97">
        <f>'3 lentelė'!N83+'3 lentelė'!W86+'3 lentelė'!W87</f>
        <v>7.9700000000000006</v>
      </c>
      <c r="K40" s="97">
        <v>0</v>
      </c>
      <c r="L40" s="97">
        <f>'3 lentelė'!T93+'3 lentelė'!N89</f>
        <v>1.0370000000000001</v>
      </c>
      <c r="M40" s="97">
        <v>0</v>
      </c>
      <c r="N40" s="97">
        <v>0</v>
      </c>
    </row>
    <row r="41" spans="1:14" s="95" customFormat="1" ht="39" x14ac:dyDescent="0.25">
      <c r="B41" s="97" t="s">
        <v>793</v>
      </c>
      <c r="C41" s="98" t="s">
        <v>797</v>
      </c>
      <c r="D41" s="97"/>
      <c r="E41" s="97">
        <v>0</v>
      </c>
      <c r="F41" s="97">
        <v>0</v>
      </c>
      <c r="G41" s="97">
        <v>0</v>
      </c>
      <c r="H41" s="97">
        <v>0</v>
      </c>
      <c r="I41" s="97">
        <v>0</v>
      </c>
      <c r="J41" s="97">
        <f>'3 lentelė'!N72+'3 lentelė'!N73+'3 lentelė'!N74</f>
        <v>3</v>
      </c>
      <c r="K41" s="97">
        <f>'3 lentelė'!N75</f>
        <v>1</v>
      </c>
      <c r="L41" s="97">
        <v>0</v>
      </c>
      <c r="M41" s="97">
        <v>0</v>
      </c>
      <c r="N41" s="97">
        <v>0</v>
      </c>
    </row>
    <row r="42" spans="1:14" s="95" customFormat="1" ht="26.25" x14ac:dyDescent="0.25">
      <c r="B42" s="97" t="s">
        <v>830</v>
      </c>
      <c r="C42" s="98" t="s">
        <v>832</v>
      </c>
      <c r="D42" s="97"/>
      <c r="E42" s="97">
        <v>0</v>
      </c>
      <c r="F42" s="97">
        <v>0</v>
      </c>
      <c r="G42" s="97">
        <v>0</v>
      </c>
      <c r="H42" s="97">
        <v>0</v>
      </c>
      <c r="I42" s="97">
        <v>0</v>
      </c>
      <c r="J42" s="97">
        <f>'3 lentelė'!N108</f>
        <v>1</v>
      </c>
      <c r="K42" s="97">
        <f>'3 lentelė'!N107+'3 lentelė'!N111</f>
        <v>4</v>
      </c>
      <c r="L42" s="97">
        <v>0</v>
      </c>
      <c r="M42" s="97">
        <f>'3 lentelė'!Q114</f>
        <v>1</v>
      </c>
      <c r="N42" s="97">
        <v>0</v>
      </c>
    </row>
    <row r="43" spans="1:14" s="95" customFormat="1" ht="26.25" x14ac:dyDescent="0.25">
      <c r="A43" s="95" t="s">
        <v>292</v>
      </c>
      <c r="B43" s="97" t="s">
        <v>776</v>
      </c>
      <c r="C43" s="98" t="s">
        <v>777</v>
      </c>
      <c r="D43" s="97"/>
      <c r="E43" s="97">
        <v>0</v>
      </c>
      <c r="F43" s="97">
        <v>0</v>
      </c>
      <c r="G43" s="97">
        <v>0</v>
      </c>
      <c r="H43" s="97">
        <v>0</v>
      </c>
      <c r="I43" s="97">
        <v>0</v>
      </c>
      <c r="J43" s="97">
        <f>'3 lentelė'!Q42+'3 lentelė'!Q43+'3 lentelė'!Q44</f>
        <v>6</v>
      </c>
      <c r="K43" s="97">
        <f>'3 lentelė'!Q41+'3 lentelė'!Q45+'3 lentelė'!Q46+'3 lentelė'!N50+'3 lentelė'!N52</f>
        <v>5</v>
      </c>
      <c r="L43" s="97">
        <f>'3 lentelė'!N51</f>
        <v>1</v>
      </c>
      <c r="M43" s="97">
        <f>'3 lentelė'!Q48</f>
        <v>1</v>
      </c>
      <c r="N43" s="97">
        <v>0</v>
      </c>
    </row>
    <row r="44" spans="1:14" s="95" customFormat="1" ht="26.25" x14ac:dyDescent="0.25">
      <c r="B44" s="97" t="s">
        <v>857</v>
      </c>
      <c r="C44" s="98" t="s">
        <v>921</v>
      </c>
      <c r="D44" s="97"/>
      <c r="E44" s="97">
        <v>0</v>
      </c>
      <c r="F44" s="97">
        <v>0</v>
      </c>
      <c r="G44" s="97">
        <v>0</v>
      </c>
      <c r="H44" s="97">
        <v>0</v>
      </c>
      <c r="I44" s="97">
        <f>'3 lentelė'!N168</f>
        <v>1</v>
      </c>
      <c r="J44" s="97">
        <f>'3 lentelė'!N166+'3 lentelė'!N167</f>
        <v>2</v>
      </c>
      <c r="K44" s="97">
        <f>'3 lentelė'!N169</f>
        <v>1</v>
      </c>
      <c r="L44" s="97">
        <v>0</v>
      </c>
      <c r="M44" s="97">
        <v>0</v>
      </c>
      <c r="N44" s="97">
        <v>0</v>
      </c>
    </row>
    <row r="45" spans="1:14" s="95" customFormat="1" x14ac:dyDescent="0.25">
      <c r="B45" s="97" t="s">
        <v>863</v>
      </c>
      <c r="C45" s="98" t="s">
        <v>864</v>
      </c>
      <c r="D45" s="97"/>
      <c r="E45" s="97">
        <v>0</v>
      </c>
      <c r="F45" s="97">
        <v>0</v>
      </c>
      <c r="G45" s="97">
        <v>0</v>
      </c>
      <c r="H45" s="97">
        <v>0</v>
      </c>
      <c r="I45" s="97">
        <v>0</v>
      </c>
      <c r="J45" s="97">
        <f>'3 lentelė'!N172+'3 lentelė'!N173+'3 lentelė'!N174+'3 lentelė'!N175+'3 lentelė'!N176</f>
        <v>115</v>
      </c>
      <c r="K45" s="97">
        <f>'3 lentelė'!N171</f>
        <v>20</v>
      </c>
      <c r="L45" s="97">
        <v>0</v>
      </c>
      <c r="M45" s="97">
        <v>0</v>
      </c>
      <c r="N45" s="97">
        <v>0</v>
      </c>
    </row>
    <row r="46" spans="1:14" s="95" customFormat="1" ht="39" x14ac:dyDescent="0.25">
      <c r="B46" s="97" t="s">
        <v>769</v>
      </c>
      <c r="C46" s="98" t="s">
        <v>770</v>
      </c>
      <c r="D46" s="97"/>
      <c r="E46" s="97">
        <v>0</v>
      </c>
      <c r="F46" s="97">
        <v>0</v>
      </c>
      <c r="G46" s="97">
        <v>0</v>
      </c>
      <c r="H46" s="97">
        <v>0</v>
      </c>
      <c r="I46" s="97">
        <f>'3 lentelė'!N33</f>
        <v>34503</v>
      </c>
      <c r="J46" s="97">
        <v>0</v>
      </c>
      <c r="K46" s="97">
        <v>0</v>
      </c>
      <c r="L46" s="97">
        <v>0</v>
      </c>
      <c r="M46" s="97">
        <v>0</v>
      </c>
      <c r="N46" s="97">
        <v>0</v>
      </c>
    </row>
    <row r="47" spans="1:14" s="95" customFormat="1" ht="26.25" x14ac:dyDescent="0.25">
      <c r="B47" s="97" t="s">
        <v>771</v>
      </c>
      <c r="C47" s="98" t="s">
        <v>772</v>
      </c>
      <c r="D47" s="97"/>
      <c r="E47" s="97">
        <v>0</v>
      </c>
      <c r="F47" s="97">
        <v>0</v>
      </c>
      <c r="G47" s="97">
        <v>0</v>
      </c>
      <c r="H47" s="97">
        <v>0</v>
      </c>
      <c r="I47" s="97">
        <f>'3 lentelė'!Q33</f>
        <v>81</v>
      </c>
      <c r="J47" s="97">
        <v>0</v>
      </c>
      <c r="K47" s="97">
        <v>0</v>
      </c>
      <c r="L47" s="97">
        <v>0</v>
      </c>
      <c r="M47" s="97">
        <v>0</v>
      </c>
      <c r="N47" s="97">
        <v>0</v>
      </c>
    </row>
    <row r="48" spans="1:14" s="95" customFormat="1" ht="51.75" x14ac:dyDescent="0.25">
      <c r="B48" s="97" t="s">
        <v>848</v>
      </c>
      <c r="C48" s="98" t="s">
        <v>922</v>
      </c>
      <c r="D48" s="97"/>
      <c r="E48" s="97">
        <v>0</v>
      </c>
      <c r="F48" s="97">
        <v>0</v>
      </c>
      <c r="G48" s="97">
        <v>0</v>
      </c>
      <c r="H48" s="97">
        <v>0</v>
      </c>
      <c r="I48" s="97">
        <v>0</v>
      </c>
      <c r="J48" s="97">
        <f>'3 lentelė'!N163</f>
        <v>500</v>
      </c>
      <c r="K48" s="97">
        <f>'3 lentelė'!N162</f>
        <v>591</v>
      </c>
      <c r="L48" s="97">
        <f>'3 lentelė'!N158+'3 lentelė'!N161</f>
        <v>3514</v>
      </c>
      <c r="M48" s="97">
        <f>'3 lentelė'!N159+'3 lentelė'!N160</f>
        <v>4270</v>
      </c>
      <c r="N48" s="97">
        <v>0</v>
      </c>
    </row>
    <row r="49" spans="2:15" s="95" customFormat="1" ht="51.75" x14ac:dyDescent="0.25">
      <c r="B49" s="97" t="s">
        <v>923</v>
      </c>
      <c r="C49" s="98" t="s">
        <v>924</v>
      </c>
      <c r="D49" s="97"/>
      <c r="E49" s="97">
        <v>0</v>
      </c>
      <c r="F49" s="97">
        <v>0</v>
      </c>
      <c r="G49" s="97">
        <v>0</v>
      </c>
      <c r="H49" s="97">
        <v>0</v>
      </c>
      <c r="I49" s="97">
        <v>0</v>
      </c>
      <c r="J49" s="97">
        <v>0</v>
      </c>
      <c r="K49" s="97">
        <v>0</v>
      </c>
      <c r="L49" s="97">
        <v>0</v>
      </c>
      <c r="M49" s="97">
        <v>0</v>
      </c>
      <c r="N49" s="97">
        <v>0</v>
      </c>
    </row>
    <row r="50" spans="2:15" s="95" customFormat="1" ht="51.75" x14ac:dyDescent="0.25">
      <c r="B50" s="97" t="s">
        <v>867</v>
      </c>
      <c r="C50" s="98" t="s">
        <v>868</v>
      </c>
      <c r="D50" s="97"/>
      <c r="E50" s="97">
        <v>0</v>
      </c>
      <c r="F50" s="97">
        <v>0</v>
      </c>
      <c r="G50" s="97">
        <v>0</v>
      </c>
      <c r="H50" s="97">
        <v>0</v>
      </c>
      <c r="I50" s="97">
        <v>0</v>
      </c>
      <c r="J50" s="97">
        <f>'3 lentelė'!N190</f>
        <v>3</v>
      </c>
      <c r="K50" s="97">
        <f>'3 lentelė'!N188+'3 lentelė'!N189+'3 lentelė'!N191+'3 lentelė'!N193</f>
        <v>19</v>
      </c>
      <c r="L50" s="97">
        <f>'3 lentelė'!N187+'3 lentelė'!N192</f>
        <v>3</v>
      </c>
      <c r="M50" s="97">
        <v>0</v>
      </c>
      <c r="N50" s="97">
        <v>0</v>
      </c>
    </row>
    <row r="51" spans="2:15" s="95" customFormat="1" ht="64.5" x14ac:dyDescent="0.25">
      <c r="B51" s="97" t="s">
        <v>869</v>
      </c>
      <c r="C51" s="98" t="s">
        <v>873</v>
      </c>
      <c r="D51" s="97"/>
      <c r="E51" s="97">
        <v>0</v>
      </c>
      <c r="F51" s="97">
        <v>0</v>
      </c>
      <c r="G51" s="97">
        <v>0</v>
      </c>
      <c r="H51" s="97">
        <v>0</v>
      </c>
      <c r="I51" s="97">
        <v>0</v>
      </c>
      <c r="J51" s="97">
        <f>'3 lentelė'!Q190</f>
        <v>15</v>
      </c>
      <c r="K51" s="97">
        <f>'3 lentelė'!Q188+'3 lentelė'!Q189+'3 lentelė'!Q191+'3 lentelė'!Q193</f>
        <v>116</v>
      </c>
      <c r="L51" s="97">
        <f>'3 lentelė'!Q187+'3 lentelė'!Q192</f>
        <v>160</v>
      </c>
      <c r="M51" s="97">
        <v>0</v>
      </c>
      <c r="N51" s="97">
        <v>0</v>
      </c>
    </row>
    <row r="52" spans="2:15" s="95" customFormat="1" ht="39" x14ac:dyDescent="0.25">
      <c r="B52" s="97" t="s">
        <v>828</v>
      </c>
      <c r="C52" s="98" t="s">
        <v>829</v>
      </c>
      <c r="D52" s="102"/>
      <c r="E52" s="97">
        <v>0</v>
      </c>
      <c r="F52" s="97">
        <v>0</v>
      </c>
      <c r="G52" s="97">
        <v>0</v>
      </c>
      <c r="H52" s="97">
        <v>0</v>
      </c>
      <c r="I52" s="97">
        <f>'3 lentelė'!Q106+'3 lentelė'!Q109</f>
        <v>20.6</v>
      </c>
      <c r="J52" s="97">
        <f>'3 lentelė'!Q108</f>
        <v>30</v>
      </c>
      <c r="K52" s="143">
        <f>'3 lentelė'!Q107+'3 lentelė'!N110+'3 lentelė'!Q111+'3 lentelė'!Q112</f>
        <v>52.19</v>
      </c>
      <c r="L52" s="97">
        <v>0</v>
      </c>
      <c r="M52" s="97">
        <f>'3 lentelė'!T114</f>
        <v>10</v>
      </c>
      <c r="N52" s="97">
        <v>0</v>
      </c>
    </row>
    <row r="53" spans="2:15" s="49" customFormat="1" ht="26.25" x14ac:dyDescent="0.25">
      <c r="B53" s="97" t="s">
        <v>861</v>
      </c>
      <c r="C53" s="72" t="s">
        <v>862</v>
      </c>
      <c r="D53" s="47"/>
      <c r="E53" s="47">
        <v>0</v>
      </c>
      <c r="F53" s="47">
        <v>0</v>
      </c>
      <c r="G53" s="47">
        <v>0</v>
      </c>
      <c r="H53" s="47">
        <v>0</v>
      </c>
      <c r="I53" s="97">
        <f>'3 lentelė'!T168</f>
        <v>14</v>
      </c>
      <c r="J53" s="97">
        <f>'3 lentelė'!T166+'3 lentelė'!T167</f>
        <v>68</v>
      </c>
      <c r="K53" s="97">
        <f>'3 lentelė'!T169</f>
        <v>16</v>
      </c>
      <c r="L53" s="97">
        <v>0</v>
      </c>
      <c r="M53" s="97">
        <v>0</v>
      </c>
      <c r="N53" s="97">
        <v>0</v>
      </c>
      <c r="O53" s="95"/>
    </row>
    <row r="54" spans="2:15" s="49" customFormat="1" ht="26.25" x14ac:dyDescent="0.25">
      <c r="B54" s="97" t="s">
        <v>775</v>
      </c>
      <c r="C54" s="72" t="s">
        <v>925</v>
      </c>
      <c r="D54" s="47"/>
      <c r="E54" s="47">
        <v>0</v>
      </c>
      <c r="F54" s="47">
        <v>0</v>
      </c>
      <c r="G54" s="47">
        <v>0</v>
      </c>
      <c r="H54" s="47">
        <v>0</v>
      </c>
      <c r="I54" s="97">
        <v>0</v>
      </c>
      <c r="J54" s="97">
        <v>0</v>
      </c>
      <c r="K54" s="97">
        <v>0</v>
      </c>
      <c r="L54" s="97">
        <v>0</v>
      </c>
      <c r="M54" s="97">
        <v>0</v>
      </c>
      <c r="N54" s="97">
        <v>0</v>
      </c>
      <c r="O54" s="95"/>
    </row>
    <row r="55" spans="2:15" s="49" customFormat="1" ht="39" x14ac:dyDescent="0.25">
      <c r="B55" s="47" t="s">
        <v>838</v>
      </c>
      <c r="C55" s="72" t="s">
        <v>839</v>
      </c>
      <c r="D55" s="47"/>
      <c r="E55" s="47">
        <v>0</v>
      </c>
      <c r="F55" s="47">
        <v>0</v>
      </c>
      <c r="G55" s="47">
        <v>0</v>
      </c>
      <c r="H55" s="47">
        <v>0</v>
      </c>
      <c r="I55" s="97">
        <v>0</v>
      </c>
      <c r="J55" s="97">
        <v>0</v>
      </c>
      <c r="K55" s="97">
        <f>'3 lentelė'!Q128+'3 lentelė'!Q129</f>
        <v>4</v>
      </c>
      <c r="L55" s="97">
        <v>0</v>
      </c>
      <c r="M55" s="97">
        <v>0</v>
      </c>
      <c r="N55" s="97">
        <v>0</v>
      </c>
      <c r="O55" s="95"/>
    </row>
    <row r="56" spans="2:15" s="49" customFormat="1" ht="26.25" x14ac:dyDescent="0.25">
      <c r="B56" s="47" t="s">
        <v>833</v>
      </c>
      <c r="C56" s="72" t="s">
        <v>834</v>
      </c>
      <c r="D56" s="47"/>
      <c r="E56" s="47">
        <v>0</v>
      </c>
      <c r="F56" s="47">
        <v>0</v>
      </c>
      <c r="G56" s="47">
        <v>0</v>
      </c>
      <c r="H56" s="47">
        <v>0</v>
      </c>
      <c r="I56" s="97">
        <v>0</v>
      </c>
      <c r="J56" s="97">
        <v>0</v>
      </c>
      <c r="K56" s="97">
        <v>0</v>
      </c>
      <c r="L56" s="97">
        <v>0</v>
      </c>
      <c r="M56" s="97">
        <f>'3 lentelė'!W114</f>
        <v>2</v>
      </c>
      <c r="N56" s="97">
        <v>0</v>
      </c>
      <c r="O56" s="95"/>
    </row>
    <row r="57" spans="2:15" s="49" customFormat="1" ht="64.5" x14ac:dyDescent="0.25">
      <c r="B57" s="47" t="s">
        <v>846</v>
      </c>
      <c r="C57" s="72" t="s">
        <v>937</v>
      </c>
      <c r="D57" s="47"/>
      <c r="E57" s="47">
        <v>0</v>
      </c>
      <c r="F57" s="47">
        <v>0</v>
      </c>
      <c r="G57" s="47">
        <v>0</v>
      </c>
      <c r="H57" s="47">
        <v>0</v>
      </c>
      <c r="I57" s="97">
        <v>0</v>
      </c>
      <c r="J57" s="97">
        <v>0</v>
      </c>
      <c r="K57" s="97">
        <f>'3 lentelė'!N151</f>
        <v>15</v>
      </c>
      <c r="L57" s="97">
        <f>'3 lentelė'!N154</f>
        <v>5</v>
      </c>
      <c r="M57" s="97">
        <f>'3 lentelė'!N150+'3 lentelė'!N152+'3 lentelė'!N153+'3 lentelė'!N155</f>
        <v>81</v>
      </c>
      <c r="N57" s="97">
        <v>0</v>
      </c>
      <c r="O57" s="95"/>
    </row>
    <row r="58" spans="2:15" s="49" customFormat="1" x14ac:dyDescent="0.25">
      <c r="B58" s="47" t="s">
        <v>935</v>
      </c>
      <c r="C58" s="72" t="s">
        <v>936</v>
      </c>
      <c r="D58" s="47"/>
      <c r="E58" s="47">
        <v>0</v>
      </c>
      <c r="F58" s="47">
        <v>0</v>
      </c>
      <c r="G58" s="47">
        <v>0</v>
      </c>
      <c r="H58" s="47">
        <v>0</v>
      </c>
      <c r="I58" s="97">
        <v>0</v>
      </c>
      <c r="J58" s="97">
        <v>0</v>
      </c>
      <c r="K58" s="97">
        <v>9</v>
      </c>
      <c r="L58" s="97">
        <v>0</v>
      </c>
      <c r="M58" s="97">
        <v>0</v>
      </c>
      <c r="N58" s="97">
        <v>0</v>
      </c>
      <c r="O58" s="95"/>
    </row>
    <row r="59" spans="2:15" s="49" customFormat="1" ht="29.25" customHeight="1" x14ac:dyDescent="0.25">
      <c r="B59" s="97" t="s">
        <v>982</v>
      </c>
      <c r="C59" s="72" t="s">
        <v>983</v>
      </c>
      <c r="D59" s="82"/>
      <c r="E59" s="47">
        <v>0</v>
      </c>
      <c r="F59" s="47">
        <v>0</v>
      </c>
      <c r="G59" s="47">
        <v>0</v>
      </c>
      <c r="H59" s="47">
        <v>0</v>
      </c>
      <c r="I59" s="97">
        <v>0</v>
      </c>
      <c r="J59" s="97">
        <f>'3 lentelė'!N143+'3 lentelė'!N146+'3 lentelė'!N147</f>
        <v>21964</v>
      </c>
      <c r="K59" s="97">
        <f>'3 lentelė'!N141+'3 lentelė'!N142+'3 lentelė'!N144+'3 lentelė'!N148</f>
        <v>47184</v>
      </c>
      <c r="L59" s="97">
        <f>'3 lentelė'!N145</f>
        <v>19722</v>
      </c>
      <c r="M59" s="97">
        <v>0</v>
      </c>
      <c r="N59" s="97">
        <v>0</v>
      </c>
      <c r="O59" s="95"/>
    </row>
    <row r="60" spans="2:15" s="49" customFormat="1" ht="51.75" x14ac:dyDescent="0.25">
      <c r="B60" s="47" t="s">
        <v>984</v>
      </c>
      <c r="C60" s="72" t="s">
        <v>985</v>
      </c>
      <c r="D60" s="82"/>
      <c r="E60" s="47">
        <v>0</v>
      </c>
      <c r="F60" s="47">
        <v>0</v>
      </c>
      <c r="G60" s="47">
        <v>0</v>
      </c>
      <c r="H60" s="47">
        <v>0</v>
      </c>
      <c r="I60" s="97">
        <v>0</v>
      </c>
      <c r="J60" s="97">
        <f>'3 lentelė'!Q143+'3 lentelė'!Q146+'3 lentelė'!Q147</f>
        <v>3</v>
      </c>
      <c r="K60" s="97">
        <f>'3 lentelė'!Q141+'3 lentelė'!Q142+'3 lentelė'!Q144+'3 lentelė'!Q148</f>
        <v>4</v>
      </c>
      <c r="L60" s="97">
        <f>'3 lentelė'!Q145</f>
        <v>1</v>
      </c>
      <c r="M60" s="97">
        <v>0</v>
      </c>
      <c r="N60" s="97">
        <v>0</v>
      </c>
      <c r="O60" s="95"/>
    </row>
    <row r="61" spans="2:15" ht="39" x14ac:dyDescent="0.25">
      <c r="B61" s="47" t="s">
        <v>1082</v>
      </c>
      <c r="C61" s="72" t="s">
        <v>1044</v>
      </c>
      <c r="D61" s="80"/>
      <c r="E61" s="47">
        <v>0</v>
      </c>
      <c r="F61" s="47">
        <v>0</v>
      </c>
      <c r="G61" s="47">
        <v>0</v>
      </c>
      <c r="H61" s="47">
        <v>0</v>
      </c>
      <c r="I61" s="97">
        <v>0</v>
      </c>
      <c r="J61" s="97">
        <v>0</v>
      </c>
      <c r="K61" s="97">
        <f>'3 lentelė'!W128</f>
        <v>0</v>
      </c>
      <c r="L61" s="97">
        <v>0</v>
      </c>
      <c r="M61" s="97">
        <v>0</v>
      </c>
      <c r="N61" s="97">
        <v>0</v>
      </c>
      <c r="O61" s="95"/>
    </row>
    <row r="62" spans="2:15" x14ac:dyDescent="0.25">
      <c r="B62" s="47" t="s">
        <v>1093</v>
      </c>
      <c r="C62" s="72" t="s">
        <v>1094</v>
      </c>
      <c r="D62" s="80"/>
      <c r="E62" s="47">
        <v>0</v>
      </c>
      <c r="F62" s="47">
        <v>0</v>
      </c>
      <c r="G62" s="47">
        <v>0</v>
      </c>
      <c r="H62" s="47">
        <v>0</v>
      </c>
      <c r="I62" s="97">
        <v>0</v>
      </c>
      <c r="J62" s="97">
        <v>50</v>
      </c>
      <c r="K62" s="97">
        <v>50</v>
      </c>
      <c r="L62" s="97">
        <v>100</v>
      </c>
      <c r="M62" s="97">
        <v>0</v>
      </c>
      <c r="N62" s="97">
        <v>0</v>
      </c>
      <c r="O62" s="95"/>
    </row>
    <row r="63" spans="2:15" ht="39" x14ac:dyDescent="0.25">
      <c r="B63" s="47" t="s">
        <v>1095</v>
      </c>
      <c r="C63" s="72" t="s">
        <v>1096</v>
      </c>
      <c r="D63" s="47"/>
      <c r="E63" s="47">
        <v>0</v>
      </c>
      <c r="F63" s="47">
        <v>0</v>
      </c>
      <c r="G63" s="47">
        <v>0</v>
      </c>
      <c r="H63" s="47">
        <v>0</v>
      </c>
      <c r="I63" s="97">
        <v>0</v>
      </c>
      <c r="J63" s="97">
        <v>0</v>
      </c>
      <c r="K63" s="97">
        <v>0</v>
      </c>
      <c r="L63" s="97">
        <f>'3 lentelė'!W192</f>
        <v>2</v>
      </c>
      <c r="M63" s="97">
        <v>0</v>
      </c>
      <c r="N63" s="97">
        <v>0</v>
      </c>
      <c r="O63" s="95"/>
    </row>
    <row r="64" spans="2:15" ht="51.75" x14ac:dyDescent="0.25">
      <c r="B64" s="47" t="s">
        <v>1097</v>
      </c>
      <c r="C64" s="72" t="s">
        <v>1098</v>
      </c>
      <c r="D64" s="47"/>
      <c r="E64" s="47">
        <v>0</v>
      </c>
      <c r="F64" s="47">
        <v>0</v>
      </c>
      <c r="G64" s="47">
        <v>0</v>
      </c>
      <c r="H64" s="47">
        <v>0</v>
      </c>
      <c r="I64" s="97">
        <v>0</v>
      </c>
      <c r="J64" s="97">
        <v>0</v>
      </c>
      <c r="K64" s="97">
        <v>0</v>
      </c>
      <c r="L64" s="97">
        <f>'3 lentelė'!Z192</f>
        <v>0.34</v>
      </c>
      <c r="M64" s="97">
        <v>0</v>
      </c>
      <c r="N64" s="97">
        <v>0</v>
      </c>
      <c r="O64" s="95"/>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opLeftCell="A19" workbookViewId="0">
      <selection activeCell="J53" sqref="J53"/>
    </sheetView>
  </sheetViews>
  <sheetFormatPr defaultRowHeight="15" x14ac:dyDescent="0.25"/>
  <cols>
    <col min="1" max="2" width="9.140625" style="4"/>
    <col min="3" max="3" width="36.140625" style="4" customWidth="1"/>
    <col min="4" max="16384" width="9.140625" style="4"/>
  </cols>
  <sheetData>
    <row r="1" spans="2:15" ht="15.75" x14ac:dyDescent="0.25">
      <c r="K1" s="195" t="s">
        <v>141</v>
      </c>
      <c r="L1" s="195"/>
      <c r="M1" s="195"/>
      <c r="N1" s="195"/>
    </row>
    <row r="2" spans="2:15" ht="15.75" x14ac:dyDescent="0.25">
      <c r="K2" s="195" t="s">
        <v>24</v>
      </c>
      <c r="L2" s="195"/>
      <c r="M2" s="195"/>
      <c r="N2" s="44"/>
    </row>
    <row r="3" spans="2:15" ht="15.75" x14ac:dyDescent="0.25">
      <c r="K3" s="195" t="s">
        <v>938</v>
      </c>
      <c r="L3" s="195"/>
      <c r="M3" s="195"/>
      <c r="N3" s="44"/>
    </row>
    <row r="6" spans="2:15" ht="15.75" x14ac:dyDescent="0.25">
      <c r="B6" s="197" t="s">
        <v>939</v>
      </c>
      <c r="C6" s="197"/>
      <c r="D6" s="197"/>
      <c r="E6" s="197"/>
      <c r="F6" s="197"/>
      <c r="G6" s="197"/>
      <c r="H6" s="197"/>
      <c r="I6" s="197"/>
      <c r="J6" s="197"/>
      <c r="K6" s="197"/>
    </row>
    <row r="8" spans="2:15" ht="15.75" x14ac:dyDescent="0.25">
      <c r="B8" s="198" t="s">
        <v>942</v>
      </c>
      <c r="C8" s="198"/>
      <c r="D8" s="198"/>
      <c r="E8" s="198"/>
      <c r="F8" s="198"/>
      <c r="G8" s="198"/>
      <c r="H8" s="198"/>
      <c r="I8" s="198"/>
      <c r="J8" s="198"/>
      <c r="K8" s="198"/>
      <c r="L8" s="198"/>
      <c r="M8" s="198"/>
      <c r="N8" s="198"/>
    </row>
    <row r="10" spans="2:15" ht="15.75" x14ac:dyDescent="0.25">
      <c r="B10" s="46" t="s">
        <v>72</v>
      </c>
      <c r="C10" s="46" t="s">
        <v>941</v>
      </c>
      <c r="D10" s="46" t="s">
        <v>74</v>
      </c>
      <c r="E10" s="46">
        <v>2014</v>
      </c>
      <c r="F10" s="46">
        <v>2015</v>
      </c>
      <c r="G10" s="46">
        <v>2016</v>
      </c>
      <c r="H10" s="46">
        <v>2017</v>
      </c>
      <c r="I10" s="46">
        <v>2018</v>
      </c>
      <c r="J10" s="46">
        <v>2019</v>
      </c>
      <c r="K10" s="46">
        <v>2020</v>
      </c>
      <c r="L10" s="46">
        <v>2021</v>
      </c>
      <c r="M10" s="46">
        <v>2022</v>
      </c>
      <c r="N10" s="46">
        <v>2023</v>
      </c>
    </row>
    <row r="11" spans="2:15" ht="39" x14ac:dyDescent="0.25">
      <c r="B11" s="47" t="s">
        <v>795</v>
      </c>
      <c r="C11" s="45" t="s">
        <v>798</v>
      </c>
      <c r="D11" s="26"/>
      <c r="E11" s="26">
        <f>'S_4 lentelė'!E11</f>
        <v>0</v>
      </c>
      <c r="F11" s="47">
        <f>E11+'S_4 lentelė'!F11</f>
        <v>0</v>
      </c>
      <c r="G11" s="47">
        <f>F11+'S_4 lentelė'!G11</f>
        <v>0</v>
      </c>
      <c r="H11" s="97">
        <f>G11+'S_4 lentelė'!H11</f>
        <v>0</v>
      </c>
      <c r="I11" s="97">
        <f>H11+'S_4 lentelė'!I11</f>
        <v>0</v>
      </c>
      <c r="J11" s="97">
        <f>I11+'S_4 lentelė'!J11</f>
        <v>0</v>
      </c>
      <c r="K11" s="97">
        <f>J11+'S_4 lentelė'!K11</f>
        <v>7400</v>
      </c>
      <c r="L11" s="97">
        <f>K11+'S_4 lentelė'!L11</f>
        <v>7400</v>
      </c>
      <c r="M11" s="97">
        <f>L11+'S_4 lentelė'!M11</f>
        <v>7400</v>
      </c>
      <c r="N11" s="97">
        <f>M11+'S_4 lentelė'!N11</f>
        <v>7400</v>
      </c>
    </row>
    <row r="12" spans="2:15" ht="26.25" x14ac:dyDescent="0.25">
      <c r="B12" s="97" t="s">
        <v>778</v>
      </c>
      <c r="C12" s="99" t="s">
        <v>779</v>
      </c>
      <c r="D12" s="26"/>
      <c r="E12" s="26">
        <f>'S_4 lentelė'!E12</f>
        <v>0</v>
      </c>
      <c r="F12" s="47">
        <f>E12+'S_4 lentelė'!F12</f>
        <v>0</v>
      </c>
      <c r="G12" s="47">
        <f>F12+'S_4 lentelė'!G12</f>
        <v>0</v>
      </c>
      <c r="H12" s="97">
        <f>G12+'S_4 lentelė'!H12</f>
        <v>0</v>
      </c>
      <c r="I12" s="97">
        <f>H12+'S_4 lentelė'!I12</f>
        <v>0</v>
      </c>
      <c r="J12" s="97">
        <f>I12+'S_4 lentelė'!J12</f>
        <v>4.3090000000000002</v>
      </c>
      <c r="K12" s="97">
        <f>J12+'S_4 lentelė'!K12</f>
        <v>5.5720000000000001</v>
      </c>
      <c r="L12" s="97">
        <f>K12+'S_4 lentelė'!L12</f>
        <v>5.5720000000000001</v>
      </c>
      <c r="M12" s="97">
        <f>L12+'S_4 lentelė'!M12</f>
        <v>6.7720000000000002</v>
      </c>
      <c r="N12" s="97">
        <f>M12+'S_4 lentelė'!N12</f>
        <v>6.7720000000000002</v>
      </c>
      <c r="O12" s="84"/>
    </row>
    <row r="13" spans="2:15" ht="26.25" x14ac:dyDescent="0.25">
      <c r="B13" s="97" t="s">
        <v>840</v>
      </c>
      <c r="C13" s="99" t="s">
        <v>841</v>
      </c>
      <c r="D13" s="26"/>
      <c r="E13" s="26">
        <f>'S_4 lentelė'!E13</f>
        <v>0</v>
      </c>
      <c r="F13" s="47">
        <f>E13+'S_4 lentelė'!F13</f>
        <v>0</v>
      </c>
      <c r="G13" s="47">
        <f>F13+'S_4 lentelė'!G13</f>
        <v>0</v>
      </c>
      <c r="H13" s="97">
        <f>G13+'S_4 lentelė'!H13</f>
        <v>0</v>
      </c>
      <c r="I13" s="97">
        <f>H13+'S_4 lentelė'!I13</f>
        <v>0</v>
      </c>
      <c r="J13" s="97">
        <f>I13+'S_4 lentelė'!J13</f>
        <v>947</v>
      </c>
      <c r="K13" s="97">
        <f>J13+'S_4 lentelė'!K13</f>
        <v>2292</v>
      </c>
      <c r="L13" s="97">
        <f>K13+'S_4 lentelė'!L13</f>
        <v>2292</v>
      </c>
      <c r="M13" s="97">
        <f>L13+'S_4 lentelė'!M13</f>
        <v>2292</v>
      </c>
      <c r="N13" s="97">
        <f>M13+'S_4 lentelė'!N13</f>
        <v>2292</v>
      </c>
      <c r="O13" s="84"/>
    </row>
    <row r="14" spans="2:15" s="84" customFormat="1" ht="26.25" x14ac:dyDescent="0.25">
      <c r="B14" s="97" t="s">
        <v>762</v>
      </c>
      <c r="C14" s="99" t="s">
        <v>904</v>
      </c>
      <c r="D14" s="91"/>
      <c r="E14" s="91">
        <f>'S_4 lentelė'!E14</f>
        <v>0</v>
      </c>
      <c r="F14" s="97">
        <f>E14+'S_4 lentelė'!F14</f>
        <v>0</v>
      </c>
      <c r="G14" s="97">
        <f>F14+'S_4 lentelė'!G14</f>
        <v>0</v>
      </c>
      <c r="H14" s="97">
        <f>G14+'S_4 lentelė'!H14</f>
        <v>0</v>
      </c>
      <c r="I14" s="97">
        <f>H14+'S_4 lentelė'!I14</f>
        <v>248930</v>
      </c>
      <c r="J14" s="97">
        <f>I14+'S_4 lentelė'!J14</f>
        <v>463767.1</v>
      </c>
      <c r="K14" s="97">
        <f>J14+'S_4 lentelė'!K14</f>
        <v>826324.2</v>
      </c>
      <c r="L14" s="97">
        <f>K14+'S_4 lentelė'!L14</f>
        <v>826324.2</v>
      </c>
      <c r="M14" s="97">
        <f>L14+'S_4 lentelė'!M14</f>
        <v>848944.7</v>
      </c>
      <c r="N14" s="97">
        <f>M14+'S_4 lentelė'!N14</f>
        <v>848944.7</v>
      </c>
    </row>
    <row r="15" spans="2:15" s="84" customFormat="1" ht="26.25" x14ac:dyDescent="0.25">
      <c r="B15" s="97" t="s">
        <v>764</v>
      </c>
      <c r="C15" s="99" t="s">
        <v>905</v>
      </c>
      <c r="D15" s="91"/>
      <c r="E15" s="91">
        <f>'S_4 lentelė'!E15</f>
        <v>0</v>
      </c>
      <c r="F15" s="97">
        <f>E15+'S_4 lentelė'!F15</f>
        <v>0</v>
      </c>
      <c r="G15" s="97">
        <f>F15+'S_4 lentelė'!G15</f>
        <v>0</v>
      </c>
      <c r="H15" s="97">
        <f>G15+'S_4 lentelė'!H15</f>
        <v>0</v>
      </c>
      <c r="I15" s="97">
        <f>H15+'S_4 lentelė'!I15</f>
        <v>800</v>
      </c>
      <c r="J15" s="97">
        <f>I15+'S_4 lentelė'!J15</f>
        <v>800</v>
      </c>
      <c r="K15" s="97">
        <f>J15+'S_4 lentelė'!K15</f>
        <v>1930</v>
      </c>
      <c r="L15" s="97">
        <f>K15+'S_4 lentelė'!L15</f>
        <v>1930</v>
      </c>
      <c r="M15" s="97">
        <f>L15+'S_4 lentelė'!M15</f>
        <v>1930</v>
      </c>
      <c r="N15" s="97">
        <f>M15+'S_4 lentelė'!N15</f>
        <v>1930</v>
      </c>
    </row>
    <row r="16" spans="2:15" s="84" customFormat="1" ht="26.25" x14ac:dyDescent="0.25">
      <c r="B16" s="97" t="s">
        <v>816</v>
      </c>
      <c r="C16" s="99" t="s">
        <v>817</v>
      </c>
      <c r="D16" s="91"/>
      <c r="E16" s="91">
        <f>'S_4 lentelė'!E16</f>
        <v>0</v>
      </c>
      <c r="F16" s="97">
        <f>E16+'S_4 lentelė'!F16</f>
        <v>0</v>
      </c>
      <c r="G16" s="97">
        <f>F16+'S_4 lentelė'!G16</f>
        <v>0</v>
      </c>
      <c r="H16" s="97">
        <f>G16+'S_4 lentelė'!H16</f>
        <v>0</v>
      </c>
      <c r="I16" s="97">
        <f>H16+'S_4 lentelė'!I16</f>
        <v>0</v>
      </c>
      <c r="J16" s="97">
        <f>I16+'S_4 lentelė'!J16</f>
        <v>20.25</v>
      </c>
      <c r="K16" s="97">
        <f>J16+'S_4 lentelė'!K16</f>
        <v>20.25</v>
      </c>
      <c r="L16" s="97">
        <f>K16+'S_4 lentelė'!L16</f>
        <v>20.25</v>
      </c>
      <c r="M16" s="97">
        <f>L16+'S_4 lentelė'!M16</f>
        <v>20.25</v>
      </c>
      <c r="N16" s="97">
        <f>M16+'S_4 lentelė'!N16</f>
        <v>20.25</v>
      </c>
    </row>
    <row r="17" spans="2:15" s="84" customFormat="1" ht="39" x14ac:dyDescent="0.25">
      <c r="B17" s="97" t="s">
        <v>803</v>
      </c>
      <c r="C17" s="99" t="s">
        <v>812</v>
      </c>
      <c r="D17" s="91"/>
      <c r="E17" s="91">
        <f>'S_4 lentelė'!E17</f>
        <v>0</v>
      </c>
      <c r="F17" s="97">
        <f>E17+'S_4 lentelė'!F17</f>
        <v>0</v>
      </c>
      <c r="G17" s="97">
        <f>F17+'S_4 lentelė'!G17</f>
        <v>0</v>
      </c>
      <c r="H17" s="97">
        <f>G17+'S_4 lentelė'!H17</f>
        <v>0</v>
      </c>
      <c r="I17" s="97">
        <f>H17+'S_4 lentelė'!I17</f>
        <v>0</v>
      </c>
      <c r="J17" s="97">
        <f>I17+'S_4 lentelė'!J17</f>
        <v>908</v>
      </c>
      <c r="K17" s="97">
        <f>J17+'S_4 lentelė'!K17</f>
        <v>1302</v>
      </c>
      <c r="L17" s="97">
        <f>K17+'S_4 lentelė'!L17</f>
        <v>1531</v>
      </c>
      <c r="M17" s="97">
        <f>L17+'S_4 lentelė'!M17</f>
        <v>1531</v>
      </c>
      <c r="N17" s="97">
        <f>M17+'S_4 lentelė'!N17</f>
        <v>1531</v>
      </c>
      <c r="O17" s="95"/>
    </row>
    <row r="18" spans="2:15" s="84" customFormat="1" ht="51.75" x14ac:dyDescent="0.25">
      <c r="B18" s="97" t="s">
        <v>805</v>
      </c>
      <c r="C18" s="99" t="s">
        <v>906</v>
      </c>
      <c r="D18" s="91"/>
      <c r="E18" s="91">
        <f>'S_4 lentelė'!E18</f>
        <v>0</v>
      </c>
      <c r="F18" s="97">
        <f>E18+'S_4 lentelė'!F18</f>
        <v>0</v>
      </c>
      <c r="G18" s="97">
        <f>F18+'S_4 lentelė'!G18</f>
        <v>0</v>
      </c>
      <c r="H18" s="97">
        <f>G18+'S_4 lentelė'!H18</f>
        <v>0</v>
      </c>
      <c r="I18" s="97">
        <f>H18+'S_4 lentelė'!I18</f>
        <v>0</v>
      </c>
      <c r="J18" s="97">
        <f>I18+'S_4 lentelė'!J18</f>
        <v>1298</v>
      </c>
      <c r="K18" s="97">
        <f>J18+'S_4 lentelė'!K18</f>
        <v>1298</v>
      </c>
      <c r="L18" s="97">
        <f>K18+'S_4 lentelė'!L18</f>
        <v>1451</v>
      </c>
      <c r="M18" s="97">
        <f>L18+'S_4 lentelė'!M18</f>
        <v>1451</v>
      </c>
      <c r="N18" s="97">
        <f>M18+'S_4 lentelė'!N18</f>
        <v>1451</v>
      </c>
      <c r="O18" s="95"/>
    </row>
    <row r="19" spans="2:15" s="84" customFormat="1" ht="39" x14ac:dyDescent="0.25">
      <c r="B19" s="97" t="s">
        <v>807</v>
      </c>
      <c r="C19" s="99" t="s">
        <v>907</v>
      </c>
      <c r="D19" s="91"/>
      <c r="E19" s="91">
        <f>'S_4 lentelė'!E19</f>
        <v>0</v>
      </c>
      <c r="F19" s="97">
        <f>E19+'S_4 lentelė'!F19</f>
        <v>0</v>
      </c>
      <c r="G19" s="97">
        <f>F19+'S_4 lentelė'!G19</f>
        <v>0</v>
      </c>
      <c r="H19" s="97">
        <f>G19+'S_4 lentelė'!H19</f>
        <v>0</v>
      </c>
      <c r="I19" s="97">
        <f>H19+'S_4 lentelė'!I19</f>
        <v>0</v>
      </c>
      <c r="J19" s="97">
        <f>I19+'S_4 lentelė'!J19</f>
        <v>1237</v>
      </c>
      <c r="K19" s="97">
        <f>J19+'S_4 lentelė'!K19</f>
        <v>1883</v>
      </c>
      <c r="L19" s="97">
        <f>K19+'S_4 lentelė'!L19</f>
        <v>2236</v>
      </c>
      <c r="M19" s="97">
        <f>L19+'S_4 lentelė'!M19</f>
        <v>2236</v>
      </c>
      <c r="N19" s="97">
        <f>M19+'S_4 lentelė'!N19</f>
        <v>2236</v>
      </c>
      <c r="O19" s="95"/>
    </row>
    <row r="20" spans="2:15" s="84" customFormat="1" ht="39" x14ac:dyDescent="0.25">
      <c r="B20" s="97" t="s">
        <v>809</v>
      </c>
      <c r="C20" s="99" t="s">
        <v>811</v>
      </c>
      <c r="D20" s="91"/>
      <c r="E20" s="91">
        <f>'S_4 lentelė'!E20</f>
        <v>0</v>
      </c>
      <c r="F20" s="97">
        <f>E20+'S_4 lentelė'!F20</f>
        <v>0</v>
      </c>
      <c r="G20" s="97">
        <f>F20+'S_4 lentelė'!G20</f>
        <v>0</v>
      </c>
      <c r="H20" s="97">
        <f>G20+'S_4 lentelė'!H20</f>
        <v>0</v>
      </c>
      <c r="I20" s="97">
        <f>H20+'S_4 lentelė'!I20</f>
        <v>0</v>
      </c>
      <c r="J20" s="97">
        <f>I20+'S_4 lentelė'!J20</f>
        <v>571</v>
      </c>
      <c r="K20" s="97">
        <f>J20+'S_4 lentelė'!K20</f>
        <v>613</v>
      </c>
      <c r="L20" s="97">
        <f>K20+'S_4 lentelė'!L20</f>
        <v>828</v>
      </c>
      <c r="M20" s="97">
        <f>L20+'S_4 lentelė'!M20</f>
        <v>828</v>
      </c>
      <c r="N20" s="97">
        <f>M20+'S_4 lentelė'!N20</f>
        <v>828</v>
      </c>
      <c r="O20" s="95"/>
    </row>
    <row r="21" spans="2:15" s="84" customFormat="1" ht="51.75" x14ac:dyDescent="0.25">
      <c r="B21" s="97" t="s">
        <v>824</v>
      </c>
      <c r="C21" s="99" t="s">
        <v>908</v>
      </c>
      <c r="D21" s="91"/>
      <c r="E21" s="91">
        <f>'S_4 lentelė'!E21</f>
        <v>0</v>
      </c>
      <c r="F21" s="97">
        <f>E21+'S_4 lentelė'!F21</f>
        <v>0</v>
      </c>
      <c r="G21" s="97">
        <f>F21+'S_4 lentelė'!G21</f>
        <v>0</v>
      </c>
      <c r="H21" s="97">
        <f>G21+'S_4 lentelė'!H21</f>
        <v>0</v>
      </c>
      <c r="I21" s="97">
        <f>H21+'S_4 lentelė'!I21</f>
        <v>0</v>
      </c>
      <c r="J21" s="97">
        <f>I21+'S_4 lentelė'!J21</f>
        <v>0</v>
      </c>
      <c r="K21" s="97">
        <f>J21+'S_4 lentelė'!K21</f>
        <v>2</v>
      </c>
      <c r="L21" s="97">
        <f>K21+'S_4 lentelė'!L21</f>
        <v>3</v>
      </c>
      <c r="M21" s="97">
        <f>L21+'S_4 lentelė'!M21</f>
        <v>5</v>
      </c>
      <c r="N21" s="97">
        <f>M21+'S_4 lentelė'!N21</f>
        <v>5</v>
      </c>
      <c r="O21" s="95"/>
    </row>
    <row r="22" spans="2:15" s="84" customFormat="1" ht="26.25" x14ac:dyDescent="0.25">
      <c r="B22" s="97" t="s">
        <v>826</v>
      </c>
      <c r="C22" s="98" t="s">
        <v>827</v>
      </c>
      <c r="D22" s="97"/>
      <c r="E22" s="97">
        <f>'S_4 lentelė'!E22</f>
        <v>0</v>
      </c>
      <c r="F22" s="97">
        <f>E22+'S_4 lentelė'!F22</f>
        <v>0</v>
      </c>
      <c r="G22" s="97">
        <f>F22+'S_4 lentelė'!G22</f>
        <v>0</v>
      </c>
      <c r="H22" s="97">
        <f>G22+'S_4 lentelė'!H22</f>
        <v>0</v>
      </c>
      <c r="I22" s="97">
        <f>H22+'S_4 lentelė'!I22</f>
        <v>97</v>
      </c>
      <c r="J22" s="97">
        <f>I22+'S_4 lentelė'!J22</f>
        <v>97</v>
      </c>
      <c r="K22" s="97">
        <f>J22+'S_4 lentelė'!K22</f>
        <v>134</v>
      </c>
      <c r="L22" s="97">
        <f>K22+'S_4 lentelė'!L22</f>
        <v>155</v>
      </c>
      <c r="M22" s="97">
        <f>L22+'S_4 lentelė'!M22</f>
        <v>163</v>
      </c>
      <c r="N22" s="97">
        <f>M22+'S_4 lentelė'!N22</f>
        <v>163</v>
      </c>
      <c r="O22" s="95"/>
    </row>
    <row r="23" spans="2:15" s="84" customFormat="1" ht="26.25" x14ac:dyDescent="0.25">
      <c r="B23" s="97" t="s">
        <v>865</v>
      </c>
      <c r="C23" s="99" t="s">
        <v>909</v>
      </c>
      <c r="D23" s="91"/>
      <c r="E23" s="91">
        <f>'S_4 lentelė'!E23</f>
        <v>0</v>
      </c>
      <c r="F23" s="97">
        <f>E23+'S_4 lentelė'!F23</f>
        <v>0</v>
      </c>
      <c r="G23" s="97">
        <f>F23+'S_4 lentelė'!G23</f>
        <v>0</v>
      </c>
      <c r="H23" s="97">
        <f>G23+'S_4 lentelė'!H23</f>
        <v>0</v>
      </c>
      <c r="I23" s="97">
        <f>H23+'S_4 lentelė'!I23</f>
        <v>2</v>
      </c>
      <c r="J23" s="97">
        <f>I23+'S_4 lentelė'!J23</f>
        <v>6</v>
      </c>
      <c r="K23" s="97">
        <f>J23+'S_4 lentelė'!K23</f>
        <v>6</v>
      </c>
      <c r="L23" s="97">
        <f>K23+'S_4 lentelė'!L23</f>
        <v>6</v>
      </c>
      <c r="M23" s="97">
        <f>L23+'S_4 lentelė'!M23</f>
        <v>6</v>
      </c>
      <c r="N23" s="97">
        <f>M23+'S_4 lentelė'!N23</f>
        <v>6</v>
      </c>
      <c r="O23" s="95"/>
    </row>
    <row r="24" spans="2:15" s="84" customFormat="1" ht="39" x14ac:dyDescent="0.25">
      <c r="B24" s="97" t="s">
        <v>859</v>
      </c>
      <c r="C24" s="99" t="s">
        <v>860</v>
      </c>
      <c r="D24" s="91"/>
      <c r="E24" s="91">
        <f>'S_4 lentelė'!E24</f>
        <v>0</v>
      </c>
      <c r="F24" s="97">
        <f>E24+'S_4 lentelė'!F24</f>
        <v>0</v>
      </c>
      <c r="G24" s="97">
        <f>F24+'S_4 lentelė'!G24</f>
        <v>0</v>
      </c>
      <c r="H24" s="97">
        <f>G24+'S_4 lentelė'!H24</f>
        <v>0</v>
      </c>
      <c r="I24" s="97">
        <f>H24+'S_4 lentelė'!I24</f>
        <v>18</v>
      </c>
      <c r="J24" s="97">
        <f>I24+'S_4 lentelė'!J24</f>
        <v>136</v>
      </c>
      <c r="K24" s="97">
        <f>J24+'S_4 lentelė'!K24</f>
        <v>136</v>
      </c>
      <c r="L24" s="97">
        <f>K24+'S_4 lentelė'!L24</f>
        <v>136</v>
      </c>
      <c r="M24" s="97">
        <f>L24+'S_4 lentelė'!M24</f>
        <v>136</v>
      </c>
      <c r="N24" s="97">
        <f>M24+'S_4 lentelė'!N24</f>
        <v>136</v>
      </c>
      <c r="O24" s="95"/>
    </row>
    <row r="25" spans="2:15" s="84" customFormat="1" x14ac:dyDescent="0.25">
      <c r="B25" s="97" t="s">
        <v>789</v>
      </c>
      <c r="C25" s="99" t="s">
        <v>910</v>
      </c>
      <c r="D25" s="91"/>
      <c r="E25" s="91">
        <f>'S_4 lentelė'!E25</f>
        <v>0</v>
      </c>
      <c r="F25" s="97">
        <f>E25+'S_4 lentelė'!F25</f>
        <v>0</v>
      </c>
      <c r="G25" s="97">
        <f>F25+'S_4 lentelė'!G25</f>
        <v>1</v>
      </c>
      <c r="H25" s="97">
        <f>G25+'S_4 lentelė'!H25</f>
        <v>2</v>
      </c>
      <c r="I25" s="97">
        <f>H25+'S_4 lentelė'!I25</f>
        <v>2</v>
      </c>
      <c r="J25" s="97">
        <f>I25+'S_4 lentelė'!J25</f>
        <v>2</v>
      </c>
      <c r="K25" s="97">
        <f>J25+'S_4 lentelė'!K25</f>
        <v>2</v>
      </c>
      <c r="L25" s="97">
        <f>K25+'S_4 lentelė'!L25</f>
        <v>2</v>
      </c>
      <c r="M25" s="97">
        <f>L25+'S_4 lentelė'!M25</f>
        <v>2</v>
      </c>
      <c r="N25" s="97">
        <f>M25+'S_4 lentelė'!N25</f>
        <v>2</v>
      </c>
      <c r="O25" s="95"/>
    </row>
    <row r="26" spans="2:15" s="84" customFormat="1" x14ac:dyDescent="0.25">
      <c r="B26" s="97" t="s">
        <v>773</v>
      </c>
      <c r="C26" s="99" t="s">
        <v>911</v>
      </c>
      <c r="D26" s="91"/>
      <c r="E26" s="91">
        <f>'S_4 lentelė'!E26</f>
        <v>0</v>
      </c>
      <c r="F26" s="97">
        <f>E26+'S_4 lentelė'!F26</f>
        <v>0</v>
      </c>
      <c r="G26" s="97">
        <f>F26+'S_4 lentelė'!G26</f>
        <v>0</v>
      </c>
      <c r="H26" s="97">
        <f>G26+'S_4 lentelė'!H26</f>
        <v>0</v>
      </c>
      <c r="I26" s="97">
        <f>H26+'S_4 lentelė'!I26</f>
        <v>0</v>
      </c>
      <c r="J26" s="97">
        <f>I26+'S_4 lentelė'!J26</f>
        <v>0.58299999999999996</v>
      </c>
      <c r="K26" s="97">
        <f>J26+'S_4 lentelė'!K26</f>
        <v>0.58299999999999996</v>
      </c>
      <c r="L26" s="97">
        <f>K26+'S_4 lentelė'!L26</f>
        <v>0.58299999999999996</v>
      </c>
      <c r="M26" s="97">
        <f>L26+'S_4 lentelė'!M26</f>
        <v>0.58299999999999996</v>
      </c>
      <c r="N26" s="97">
        <f>M26+'S_4 lentelė'!N26</f>
        <v>0.58299999999999996</v>
      </c>
      <c r="O26" s="95"/>
    </row>
    <row r="27" spans="2:15" s="84" customFormat="1" ht="26.25" x14ac:dyDescent="0.25">
      <c r="B27" s="97" t="s">
        <v>850</v>
      </c>
      <c r="C27" s="99" t="s">
        <v>851</v>
      </c>
      <c r="D27" s="91"/>
      <c r="E27" s="91">
        <f>'S_4 lentelė'!E27</f>
        <v>0</v>
      </c>
      <c r="F27" s="97">
        <f>E27+'S_4 lentelė'!F27</f>
        <v>0</v>
      </c>
      <c r="G27" s="97">
        <f>F27+'S_4 lentelė'!G27</f>
        <v>0</v>
      </c>
      <c r="H27" s="97">
        <f>G27+'S_4 lentelė'!H27</f>
        <v>0</v>
      </c>
      <c r="I27" s="97">
        <f>H27+'S_4 lentelė'!I27</f>
        <v>0</v>
      </c>
      <c r="J27" s="97">
        <f>I27+'S_4 lentelė'!J27</f>
        <v>0</v>
      </c>
      <c r="K27" s="97">
        <f>J27+'S_4 lentelė'!K27</f>
        <v>1</v>
      </c>
      <c r="L27" s="97">
        <f>K27+'S_4 lentelė'!L27</f>
        <v>1</v>
      </c>
      <c r="M27" s="97">
        <f>L27+'S_4 lentelė'!M27</f>
        <v>1</v>
      </c>
      <c r="N27" s="97">
        <f>M27+'S_4 lentelė'!N27</f>
        <v>1</v>
      </c>
      <c r="O27" s="95"/>
    </row>
    <row r="28" spans="2:15" s="84" customFormat="1" ht="39" x14ac:dyDescent="0.25">
      <c r="B28" s="97" t="s">
        <v>836</v>
      </c>
      <c r="C28" s="99" t="s">
        <v>912</v>
      </c>
      <c r="D28" s="91"/>
      <c r="E28" s="91">
        <f>'S_4 lentelė'!E28</f>
        <v>0</v>
      </c>
      <c r="F28" s="97">
        <f>E28+'S_4 lentelė'!F28</f>
        <v>0</v>
      </c>
      <c r="G28" s="97">
        <f>F28+'S_4 lentelė'!G28</f>
        <v>0</v>
      </c>
      <c r="H28" s="97">
        <f>G28+'S_4 lentelė'!H28</f>
        <v>0</v>
      </c>
      <c r="I28" s="97">
        <f>H28+'S_4 lentelė'!I28</f>
        <v>0</v>
      </c>
      <c r="J28" s="97">
        <f>I28+'S_4 lentelė'!J28</f>
        <v>0</v>
      </c>
      <c r="K28" s="97">
        <f>J28+'S_4 lentelė'!K28</f>
        <v>1</v>
      </c>
      <c r="L28" s="97">
        <f>K28+'S_4 lentelė'!L28</f>
        <v>1</v>
      </c>
      <c r="M28" s="97">
        <f>L28+'S_4 lentelė'!M28</f>
        <v>1</v>
      </c>
      <c r="N28" s="97">
        <f>M28+'S_4 lentelė'!N28</f>
        <v>1</v>
      </c>
      <c r="O28" s="95"/>
    </row>
    <row r="29" spans="2:15" s="84" customFormat="1" ht="26.25" x14ac:dyDescent="0.25">
      <c r="B29" s="97" t="s">
        <v>842</v>
      </c>
      <c r="C29" s="99" t="s">
        <v>913</v>
      </c>
      <c r="D29" s="91"/>
      <c r="E29" s="91">
        <f>'S_4 lentelė'!E29</f>
        <v>0</v>
      </c>
      <c r="F29" s="97">
        <f>E29+'S_4 lentelė'!F29</f>
        <v>0</v>
      </c>
      <c r="G29" s="97">
        <f>F29+'S_4 lentelė'!G29</f>
        <v>0</v>
      </c>
      <c r="H29" s="97">
        <f>G29+'S_4 lentelė'!H29</f>
        <v>0</v>
      </c>
      <c r="I29" s="97">
        <f>H29+'S_4 lentelė'!I29</f>
        <v>0</v>
      </c>
      <c r="J29" s="97">
        <f>I29+'S_4 lentelė'!J29</f>
        <v>1</v>
      </c>
      <c r="K29" s="97">
        <f>J29+'S_4 lentelė'!K29</f>
        <v>3</v>
      </c>
      <c r="L29" s="97">
        <f>K29+'S_4 lentelė'!L29</f>
        <v>3</v>
      </c>
      <c r="M29" s="97">
        <f>L29+'S_4 lentelė'!M29</f>
        <v>3</v>
      </c>
      <c r="N29" s="97">
        <f>M29+'S_4 lentelė'!N29</f>
        <v>3</v>
      </c>
      <c r="O29" s="95"/>
    </row>
    <row r="30" spans="2:15" s="84" customFormat="1" ht="26.25" x14ac:dyDescent="0.25">
      <c r="B30" s="97" t="s">
        <v>844</v>
      </c>
      <c r="C30" s="99" t="s">
        <v>845</v>
      </c>
      <c r="D30" s="91"/>
      <c r="E30" s="91">
        <f>'S_4 lentelė'!E30</f>
        <v>0</v>
      </c>
      <c r="F30" s="97">
        <f>E30+'S_4 lentelė'!F30</f>
        <v>0</v>
      </c>
      <c r="G30" s="97">
        <f>F30+'S_4 lentelė'!G30</f>
        <v>0</v>
      </c>
      <c r="H30" s="97">
        <f>G30+'S_4 lentelė'!H30</f>
        <v>0</v>
      </c>
      <c r="I30" s="97">
        <f>H30+'S_4 lentelė'!I30</f>
        <v>0</v>
      </c>
      <c r="J30" s="97">
        <f>I30+'S_4 lentelė'!J30</f>
        <v>1</v>
      </c>
      <c r="K30" s="97">
        <f>J30+'S_4 lentelė'!K30</f>
        <v>2</v>
      </c>
      <c r="L30" s="97">
        <f>K30+'S_4 lentelė'!L30</f>
        <v>2</v>
      </c>
      <c r="M30" s="97">
        <f>L30+'S_4 lentelė'!M30</f>
        <v>2</v>
      </c>
      <c r="N30" s="97">
        <f>M30+'S_4 lentelė'!N30</f>
        <v>2</v>
      </c>
      <c r="O30" s="95"/>
    </row>
    <row r="31" spans="2:15" s="84" customFormat="1" x14ac:dyDescent="0.25">
      <c r="B31" s="97" t="s">
        <v>799</v>
      </c>
      <c r="C31" s="98" t="s">
        <v>800</v>
      </c>
      <c r="D31" s="102"/>
      <c r="E31" s="97">
        <f>'S_4 lentelė'!E31</f>
        <v>0</v>
      </c>
      <c r="F31" s="97">
        <f>E31+'S_4 lentelė'!F31</f>
        <v>0</v>
      </c>
      <c r="G31" s="97">
        <f>F31+'S_4 lentelė'!G31</f>
        <v>0</v>
      </c>
      <c r="H31" s="97">
        <f>G31+'S_4 lentelė'!H31</f>
        <v>0</v>
      </c>
      <c r="I31" s="97">
        <f>H31+'S_4 lentelė'!I31</f>
        <v>86</v>
      </c>
      <c r="J31" s="97">
        <f>I31+'S_4 lentelė'!J31</f>
        <v>86</v>
      </c>
      <c r="K31" s="97">
        <f>J31+'S_4 lentelė'!K31</f>
        <v>213</v>
      </c>
      <c r="L31" s="97">
        <f>K31+'S_4 lentelė'!L31</f>
        <v>213</v>
      </c>
      <c r="M31" s="97">
        <f>L31+'S_4 lentelė'!M31</f>
        <v>213</v>
      </c>
      <c r="N31" s="97">
        <f>M31+'S_4 lentelė'!N31</f>
        <v>213</v>
      </c>
      <c r="O31" s="95"/>
    </row>
    <row r="32" spans="2:15" s="84" customFormat="1" x14ac:dyDescent="0.25">
      <c r="B32" s="97" t="s">
        <v>914</v>
      </c>
      <c r="C32" s="98" t="s">
        <v>872</v>
      </c>
      <c r="D32" s="102"/>
      <c r="E32" s="97">
        <f>'S_4 lentelė'!E32</f>
        <v>0</v>
      </c>
      <c r="F32" s="97">
        <f>E32+'S_4 lentelė'!F32</f>
        <v>0</v>
      </c>
      <c r="G32" s="97">
        <f>F32+'S_4 lentelė'!G32</f>
        <v>0</v>
      </c>
      <c r="H32" s="97">
        <f>G32+'S_4 lentelė'!H32</f>
        <v>0</v>
      </c>
      <c r="I32" s="97">
        <f>H32+'S_4 lentelė'!I32</f>
        <v>0</v>
      </c>
      <c r="J32" s="97">
        <f>I32+'S_4 lentelė'!J32</f>
        <v>4</v>
      </c>
      <c r="K32" s="97">
        <f>J32+'S_4 lentelė'!K32</f>
        <v>4</v>
      </c>
      <c r="L32" s="97">
        <f>K32+'S_4 lentelė'!L32</f>
        <v>5</v>
      </c>
      <c r="M32" s="97">
        <f>L32+'S_4 lentelė'!M32</f>
        <v>5</v>
      </c>
      <c r="N32" s="97">
        <f>M32+'S_4 lentelė'!N32</f>
        <v>5</v>
      </c>
      <c r="O32" s="95"/>
    </row>
    <row r="33" spans="2:15" s="84" customFormat="1" ht="51.75" x14ac:dyDescent="0.25">
      <c r="B33" s="97" t="s">
        <v>915</v>
      </c>
      <c r="C33" s="99" t="s">
        <v>916</v>
      </c>
      <c r="D33" s="91"/>
      <c r="E33" s="91">
        <f>'S_4 lentelė'!E33</f>
        <v>0</v>
      </c>
      <c r="F33" s="97">
        <f>E33+'S_4 lentelė'!F33</f>
        <v>0</v>
      </c>
      <c r="G33" s="97">
        <f>F33+'S_4 lentelė'!G33</f>
        <v>0</v>
      </c>
      <c r="H33" s="97">
        <f>G33+'S_4 lentelė'!H33</f>
        <v>0</v>
      </c>
      <c r="I33" s="97">
        <f>H33+'S_4 lentelė'!I33</f>
        <v>0</v>
      </c>
      <c r="J33" s="97">
        <f>I33+'S_4 lentelė'!J33</f>
        <v>0</v>
      </c>
      <c r="K33" s="97">
        <f>J33+'S_4 lentelė'!K33</f>
        <v>0</v>
      </c>
      <c r="L33" s="97">
        <f>K33+'S_4 lentelė'!L33</f>
        <v>0</v>
      </c>
      <c r="M33" s="97">
        <f>L33+'S_4 lentelė'!M33</f>
        <v>0</v>
      </c>
      <c r="N33" s="97">
        <f>M33+'S_4 lentelė'!N33</f>
        <v>0</v>
      </c>
      <c r="O33" s="95"/>
    </row>
    <row r="34" spans="2:15" s="84" customFormat="1" ht="26.25" x14ac:dyDescent="0.25">
      <c r="B34" s="97" t="s">
        <v>781</v>
      </c>
      <c r="C34" s="99" t="s">
        <v>782</v>
      </c>
      <c r="D34" s="91"/>
      <c r="E34" s="91">
        <f>'S_4 lentelė'!E34</f>
        <v>0</v>
      </c>
      <c r="F34" s="97">
        <f>E34+'S_4 lentelė'!F34</f>
        <v>0</v>
      </c>
      <c r="G34" s="97">
        <f>F34+'S_4 lentelė'!G34</f>
        <v>0</v>
      </c>
      <c r="H34" s="97">
        <f>G34+'S_4 lentelė'!H34</f>
        <v>0</v>
      </c>
      <c r="I34" s="97">
        <f>H34+'S_4 lentelė'!I34</f>
        <v>0</v>
      </c>
      <c r="J34" s="97">
        <f>I34+'S_4 lentelė'!J34</f>
        <v>0.55000000000000004</v>
      </c>
      <c r="K34" s="97">
        <f>J34+'S_4 lentelė'!K34</f>
        <v>1.61</v>
      </c>
      <c r="L34" s="97">
        <f>K34+'S_4 lentelė'!L34</f>
        <v>1.61</v>
      </c>
      <c r="M34" s="97">
        <f>L34+'S_4 lentelė'!M34</f>
        <v>1.61</v>
      </c>
      <c r="N34" s="97">
        <f>M34+'S_4 lentelė'!N34</f>
        <v>1.61</v>
      </c>
      <c r="O34" s="95"/>
    </row>
    <row r="35" spans="2:15" s="84" customFormat="1" ht="26.25" x14ac:dyDescent="0.25">
      <c r="B35" s="97" t="s">
        <v>917</v>
      </c>
      <c r="C35" s="99" t="s">
        <v>785</v>
      </c>
      <c r="D35" s="91"/>
      <c r="E35" s="91">
        <f>'S_4 lentelė'!E35</f>
        <v>0</v>
      </c>
      <c r="F35" s="97">
        <f>E35+'S_4 lentelė'!F35</f>
        <v>0</v>
      </c>
      <c r="G35" s="97">
        <f>F35+'S_4 lentelė'!G35</f>
        <v>0</v>
      </c>
      <c r="H35" s="97">
        <f>G35+'S_4 lentelė'!H35</f>
        <v>0</v>
      </c>
      <c r="I35" s="97">
        <f>H35+'S_4 lentelė'!I35</f>
        <v>0</v>
      </c>
      <c r="J35" s="97">
        <f>I35+'S_4 lentelė'!J35</f>
        <v>0</v>
      </c>
      <c r="K35" s="97">
        <f>J35+'S_4 lentelė'!K35</f>
        <v>1.6600000000000001</v>
      </c>
      <c r="L35" s="97">
        <f>K35+'S_4 lentelė'!L35</f>
        <v>1.6600000000000001</v>
      </c>
      <c r="M35" s="97">
        <f>L35+'S_4 lentelė'!M35</f>
        <v>1.6600000000000001</v>
      </c>
      <c r="N35" s="97">
        <f>M35+'S_4 lentelė'!N35</f>
        <v>1.6600000000000001</v>
      </c>
      <c r="O35" s="95"/>
    </row>
    <row r="36" spans="2:15" s="84" customFormat="1" x14ac:dyDescent="0.25">
      <c r="B36" s="97" t="s">
        <v>918</v>
      </c>
      <c r="C36" s="99" t="s">
        <v>919</v>
      </c>
      <c r="D36" s="91"/>
      <c r="E36" s="91">
        <f>'S_4 lentelė'!E36</f>
        <v>0</v>
      </c>
      <c r="F36" s="97">
        <f>E36+'S_4 lentelė'!F36</f>
        <v>0</v>
      </c>
      <c r="G36" s="97">
        <f>F36+'S_4 lentelė'!G36</f>
        <v>0</v>
      </c>
      <c r="H36" s="97">
        <f>G36+'S_4 lentelė'!H36</f>
        <v>0</v>
      </c>
      <c r="I36" s="97">
        <f>H36+'S_4 lentelė'!I36</f>
        <v>0</v>
      </c>
      <c r="J36" s="97">
        <f>I36+'S_4 lentelė'!J36</f>
        <v>0</v>
      </c>
      <c r="K36" s="97">
        <f>J36+'S_4 lentelė'!K36</f>
        <v>3</v>
      </c>
      <c r="L36" s="97">
        <f>K36+'S_4 lentelė'!L36</f>
        <v>3</v>
      </c>
      <c r="M36" s="97">
        <f>L36+'S_4 lentelė'!M36</f>
        <v>3</v>
      </c>
      <c r="N36" s="97">
        <f>M36+'S_4 lentelė'!N36</f>
        <v>3</v>
      </c>
      <c r="O36" s="95"/>
    </row>
    <row r="37" spans="2:15" s="84" customFormat="1" ht="26.25" x14ac:dyDescent="0.25">
      <c r="B37" s="97" t="s">
        <v>791</v>
      </c>
      <c r="C37" s="98" t="s">
        <v>920</v>
      </c>
      <c r="D37" s="97"/>
      <c r="E37" s="97">
        <f>'S_4 lentelė'!E37</f>
        <v>0</v>
      </c>
      <c r="F37" s="97">
        <f>E37+'S_4 lentelė'!F37</f>
        <v>0</v>
      </c>
      <c r="G37" s="97">
        <f>F37+'S_4 lentelė'!G37</f>
        <v>0</v>
      </c>
      <c r="H37" s="97">
        <f>G37+'S_4 lentelė'!H37</f>
        <v>0</v>
      </c>
      <c r="I37" s="97">
        <f>H37+'S_4 lentelė'!I37</f>
        <v>0</v>
      </c>
      <c r="J37" s="97">
        <f>I37+'S_4 lentelė'!J37</f>
        <v>0</v>
      </c>
      <c r="K37" s="97">
        <f>J37+'S_4 lentelė'!K37</f>
        <v>0</v>
      </c>
      <c r="L37" s="97">
        <f>K37+'S_4 lentelė'!L37</f>
        <v>4</v>
      </c>
      <c r="M37" s="97">
        <f>L37+'S_4 lentelė'!M37</f>
        <v>4</v>
      </c>
      <c r="N37" s="97">
        <f>M37+'S_4 lentelė'!N37</f>
        <v>4</v>
      </c>
      <c r="O37" s="95"/>
    </row>
    <row r="38" spans="2:15" s="84" customFormat="1" ht="39" x14ac:dyDescent="0.25">
      <c r="B38" s="97" t="s">
        <v>814</v>
      </c>
      <c r="C38" s="99" t="s">
        <v>815</v>
      </c>
      <c r="D38" s="91"/>
      <c r="E38" s="91">
        <f>'S_4 lentelė'!E38</f>
        <v>0</v>
      </c>
      <c r="F38" s="97">
        <f>E38+'S_4 lentelė'!F38</f>
        <v>0</v>
      </c>
      <c r="G38" s="97">
        <f>F38+'S_4 lentelė'!G38</f>
        <v>0</v>
      </c>
      <c r="H38" s="97">
        <f>G38+'S_4 lentelė'!H38</f>
        <v>0</v>
      </c>
      <c r="I38" s="97">
        <f>H38+'S_4 lentelė'!I38</f>
        <v>71.92</v>
      </c>
      <c r="J38" s="97">
        <f>I38+'S_4 lentelė'!J38</f>
        <v>124.5</v>
      </c>
      <c r="K38" s="97">
        <f>J38+'S_4 lentelė'!K38</f>
        <v>124.5</v>
      </c>
      <c r="L38" s="97">
        <f>K38+'S_4 lentelė'!L38</f>
        <v>124.5</v>
      </c>
      <c r="M38" s="97">
        <f>L38+'S_4 lentelė'!M38</f>
        <v>124.5</v>
      </c>
      <c r="N38" s="97">
        <f>M38+'S_4 lentelė'!N38</f>
        <v>124.5</v>
      </c>
      <c r="O38" s="95"/>
    </row>
    <row r="39" spans="2:15" s="84" customFormat="1" ht="26.25" x14ac:dyDescent="0.25">
      <c r="B39" s="97" t="s">
        <v>819</v>
      </c>
      <c r="C39" s="99" t="s">
        <v>823</v>
      </c>
      <c r="D39" s="91"/>
      <c r="E39" s="91">
        <f>'S_4 lentelė'!E39</f>
        <v>0</v>
      </c>
      <c r="F39" s="97">
        <f>E39+'S_4 lentelė'!F39</f>
        <v>0</v>
      </c>
      <c r="G39" s="97">
        <f>F39+'S_4 lentelė'!G39</f>
        <v>0</v>
      </c>
      <c r="H39" s="97">
        <f>G39+'S_4 lentelė'!H39</f>
        <v>0</v>
      </c>
      <c r="I39" s="97">
        <f>H39+'S_4 lentelė'!I39</f>
        <v>0</v>
      </c>
      <c r="J39" s="97">
        <f>I39+'S_4 lentelė'!J39</f>
        <v>7708.75</v>
      </c>
      <c r="K39" s="97">
        <f>J39+'S_4 lentelė'!K39</f>
        <v>7708.75</v>
      </c>
      <c r="L39" s="97">
        <f>K39+'S_4 lentelė'!L39</f>
        <v>7708.75</v>
      </c>
      <c r="M39" s="97">
        <f>L39+'S_4 lentelė'!M39</f>
        <v>7708.75</v>
      </c>
      <c r="N39" s="97">
        <f>M39+'S_4 lentelė'!N39</f>
        <v>7708.75</v>
      </c>
      <c r="O39" s="95"/>
    </row>
    <row r="40" spans="2:15" s="84" customFormat="1" ht="26.25" x14ac:dyDescent="0.25">
      <c r="B40" s="97" t="s">
        <v>801</v>
      </c>
      <c r="C40" s="99" t="s">
        <v>802</v>
      </c>
      <c r="D40" s="91"/>
      <c r="E40" s="91">
        <f>'S_4 lentelė'!E40</f>
        <v>0</v>
      </c>
      <c r="F40" s="97">
        <f>E40+'S_4 lentelė'!F40</f>
        <v>0</v>
      </c>
      <c r="G40" s="97">
        <f>F40+'S_4 lentelė'!G40</f>
        <v>0</v>
      </c>
      <c r="H40" s="97">
        <f>G40+'S_4 lentelė'!H40</f>
        <v>0</v>
      </c>
      <c r="I40" s="97">
        <f>H40+'S_4 lentelė'!I40</f>
        <v>19.579999999999998</v>
      </c>
      <c r="J40" s="97">
        <f>I40+'S_4 lentelė'!J40</f>
        <v>27.549999999999997</v>
      </c>
      <c r="K40" s="97">
        <f>J40+'S_4 lentelė'!K40</f>
        <v>27.549999999999997</v>
      </c>
      <c r="L40" s="97">
        <f>K40+'S_4 lentelė'!L40</f>
        <v>28.586999999999996</v>
      </c>
      <c r="M40" s="97">
        <f>L40+'S_4 lentelė'!M40</f>
        <v>28.586999999999996</v>
      </c>
      <c r="N40" s="143">
        <f>M40+'S_4 lentelė'!N40</f>
        <v>28.586999999999996</v>
      </c>
      <c r="O40" s="95"/>
    </row>
    <row r="41" spans="2:15" s="84" customFormat="1" ht="39" x14ac:dyDescent="0.25">
      <c r="B41" s="97" t="s">
        <v>793</v>
      </c>
      <c r="C41" s="99" t="s">
        <v>797</v>
      </c>
      <c r="D41" s="91"/>
      <c r="E41" s="91">
        <f>'S_4 lentelė'!E41</f>
        <v>0</v>
      </c>
      <c r="F41" s="97">
        <f>E41+'S_4 lentelė'!F41</f>
        <v>0</v>
      </c>
      <c r="G41" s="97">
        <f>F41+'S_4 lentelė'!G41</f>
        <v>0</v>
      </c>
      <c r="H41" s="97">
        <f>G41+'S_4 lentelė'!H41</f>
        <v>0</v>
      </c>
      <c r="I41" s="97">
        <f>H41+'S_4 lentelė'!I41</f>
        <v>0</v>
      </c>
      <c r="J41" s="97">
        <f>I41+'S_4 lentelė'!J41</f>
        <v>3</v>
      </c>
      <c r="K41" s="97">
        <f>J41+'S_4 lentelė'!K41</f>
        <v>4</v>
      </c>
      <c r="L41" s="97">
        <f>K41+'S_4 lentelė'!L41</f>
        <v>4</v>
      </c>
      <c r="M41" s="97">
        <f>L41+'S_4 lentelė'!M41</f>
        <v>4</v>
      </c>
      <c r="N41" s="97">
        <f>M41+'S_4 lentelė'!N41</f>
        <v>4</v>
      </c>
      <c r="O41" s="95"/>
    </row>
    <row r="42" spans="2:15" s="84" customFormat="1" ht="26.25" x14ac:dyDescent="0.25">
      <c r="B42" s="97" t="s">
        <v>830</v>
      </c>
      <c r="C42" s="99" t="s">
        <v>832</v>
      </c>
      <c r="D42" s="91"/>
      <c r="E42" s="91">
        <f>'S_4 lentelė'!E42</f>
        <v>0</v>
      </c>
      <c r="F42" s="97">
        <f>E42+'S_4 lentelė'!F42</f>
        <v>0</v>
      </c>
      <c r="G42" s="97">
        <f>F42+'S_4 lentelė'!G42</f>
        <v>0</v>
      </c>
      <c r="H42" s="97">
        <f>G42+'S_4 lentelė'!H42</f>
        <v>0</v>
      </c>
      <c r="I42" s="97">
        <f>H42+'S_4 lentelė'!I42</f>
        <v>0</v>
      </c>
      <c r="J42" s="97">
        <f>I42+'S_4 lentelė'!J42</f>
        <v>1</v>
      </c>
      <c r="K42" s="97">
        <f>J42+'S_4 lentelė'!K42</f>
        <v>5</v>
      </c>
      <c r="L42" s="97">
        <f>K42+'S_4 lentelė'!L42</f>
        <v>5</v>
      </c>
      <c r="M42" s="97">
        <f>L42+'S_4 lentelė'!M42</f>
        <v>6</v>
      </c>
      <c r="N42" s="97">
        <f>M42+'S_4 lentelė'!N42</f>
        <v>6</v>
      </c>
      <c r="O42" s="95"/>
    </row>
    <row r="43" spans="2:15" s="84" customFormat="1" ht="26.25" x14ac:dyDescent="0.25">
      <c r="B43" s="97" t="s">
        <v>776</v>
      </c>
      <c r="C43" s="99" t="s">
        <v>777</v>
      </c>
      <c r="D43" s="91"/>
      <c r="E43" s="91">
        <f>'S_4 lentelė'!E43</f>
        <v>0</v>
      </c>
      <c r="F43" s="97">
        <f>E43+'S_4 lentelė'!F43</f>
        <v>0</v>
      </c>
      <c r="G43" s="97">
        <f>F43+'S_4 lentelė'!G43</f>
        <v>0</v>
      </c>
      <c r="H43" s="97">
        <f>G43+'S_4 lentelė'!H43</f>
        <v>0</v>
      </c>
      <c r="I43" s="97">
        <f>H43+'S_4 lentelė'!I43</f>
        <v>0</v>
      </c>
      <c r="J43" s="97">
        <f>I43+'S_4 lentelė'!J43</f>
        <v>6</v>
      </c>
      <c r="K43" s="97">
        <f>J43+'S_4 lentelė'!K43</f>
        <v>11</v>
      </c>
      <c r="L43" s="97">
        <f>K43+'S_4 lentelė'!L43</f>
        <v>12</v>
      </c>
      <c r="M43" s="97">
        <f>L43+'S_4 lentelė'!M43</f>
        <v>13</v>
      </c>
      <c r="N43" s="97">
        <f>M43+'S_4 lentelė'!N43</f>
        <v>13</v>
      </c>
      <c r="O43" s="95"/>
    </row>
    <row r="44" spans="2:15" s="84" customFormat="1" ht="26.25" x14ac:dyDescent="0.25">
      <c r="B44" s="97" t="s">
        <v>857</v>
      </c>
      <c r="C44" s="99" t="s">
        <v>921</v>
      </c>
      <c r="D44" s="91"/>
      <c r="E44" s="91">
        <f>'S_4 lentelė'!E44</f>
        <v>0</v>
      </c>
      <c r="F44" s="97">
        <f>E44+'S_4 lentelė'!F44</f>
        <v>0</v>
      </c>
      <c r="G44" s="97">
        <f>F44+'S_4 lentelė'!G44</f>
        <v>0</v>
      </c>
      <c r="H44" s="97">
        <f>G44+'S_4 lentelė'!H44</f>
        <v>0</v>
      </c>
      <c r="I44" s="97">
        <f>H44+'S_4 lentelė'!I44</f>
        <v>1</v>
      </c>
      <c r="J44" s="97">
        <f>I44+'S_4 lentelė'!J44</f>
        <v>3</v>
      </c>
      <c r="K44" s="97">
        <f>J44+'S_4 lentelė'!K44</f>
        <v>4</v>
      </c>
      <c r="L44" s="97">
        <f>K44+'S_4 lentelė'!L44</f>
        <v>4</v>
      </c>
      <c r="M44" s="97">
        <f>L44+'S_4 lentelė'!M44</f>
        <v>4</v>
      </c>
      <c r="N44" s="97">
        <f>M44+'S_4 lentelė'!N44</f>
        <v>4</v>
      </c>
      <c r="O44" s="95"/>
    </row>
    <row r="45" spans="2:15" s="84" customFormat="1" x14ac:dyDescent="0.25">
      <c r="B45" s="97" t="s">
        <v>863</v>
      </c>
      <c r="C45" s="99" t="s">
        <v>864</v>
      </c>
      <c r="D45" s="91"/>
      <c r="E45" s="91">
        <f>'S_4 lentelė'!E45</f>
        <v>0</v>
      </c>
      <c r="F45" s="97">
        <f>E45+'S_4 lentelė'!F45</f>
        <v>0</v>
      </c>
      <c r="G45" s="97">
        <f>F45+'S_4 lentelė'!G45</f>
        <v>0</v>
      </c>
      <c r="H45" s="97">
        <f>G45+'S_4 lentelė'!H45</f>
        <v>0</v>
      </c>
      <c r="I45" s="97">
        <f>H45+'S_4 lentelė'!I45</f>
        <v>0</v>
      </c>
      <c r="J45" s="97">
        <f>I45+'S_4 lentelė'!J45</f>
        <v>115</v>
      </c>
      <c r="K45" s="97">
        <f>J45+'S_4 lentelė'!K45</f>
        <v>135</v>
      </c>
      <c r="L45" s="97">
        <f>K45+'S_4 lentelė'!L45</f>
        <v>135</v>
      </c>
      <c r="M45" s="97">
        <f>L45+'S_4 lentelė'!M45</f>
        <v>135</v>
      </c>
      <c r="N45" s="97">
        <f>M45+'S_4 lentelė'!N45</f>
        <v>135</v>
      </c>
      <c r="O45" s="95"/>
    </row>
    <row r="46" spans="2:15" s="84" customFormat="1" ht="39" x14ac:dyDescent="0.25">
      <c r="B46" s="97" t="s">
        <v>769</v>
      </c>
      <c r="C46" s="99" t="s">
        <v>770</v>
      </c>
      <c r="D46" s="91"/>
      <c r="E46" s="91">
        <f>'S_4 lentelė'!E46</f>
        <v>0</v>
      </c>
      <c r="F46" s="97">
        <f>E46+'S_4 lentelė'!F46</f>
        <v>0</v>
      </c>
      <c r="G46" s="97">
        <f>F46+'S_4 lentelė'!G46</f>
        <v>0</v>
      </c>
      <c r="H46" s="97">
        <f>G46+'S_4 lentelė'!H46</f>
        <v>0</v>
      </c>
      <c r="I46" s="97">
        <f>H46+'S_4 lentelė'!I46</f>
        <v>34503</v>
      </c>
      <c r="J46" s="97">
        <f>I46+'S_4 lentelė'!J46</f>
        <v>34503</v>
      </c>
      <c r="K46" s="97">
        <f>J46+'S_4 lentelė'!K46</f>
        <v>34503</v>
      </c>
      <c r="L46" s="97">
        <f>K46+'S_4 lentelė'!L46</f>
        <v>34503</v>
      </c>
      <c r="M46" s="97">
        <f>L46+'S_4 lentelė'!M46</f>
        <v>34503</v>
      </c>
      <c r="N46" s="97">
        <f>M46+'S_4 lentelė'!N46</f>
        <v>34503</v>
      </c>
      <c r="O46" s="95"/>
    </row>
    <row r="47" spans="2:15" s="84" customFormat="1" ht="26.25" x14ac:dyDescent="0.25">
      <c r="B47" s="97" t="s">
        <v>771</v>
      </c>
      <c r="C47" s="99" t="s">
        <v>772</v>
      </c>
      <c r="D47" s="91"/>
      <c r="E47" s="91">
        <f>'S_4 lentelė'!E47</f>
        <v>0</v>
      </c>
      <c r="F47" s="97">
        <f>E47+'S_4 lentelė'!F47</f>
        <v>0</v>
      </c>
      <c r="G47" s="97">
        <f>F47+'S_4 lentelė'!G47</f>
        <v>0</v>
      </c>
      <c r="H47" s="97">
        <f>G47+'S_4 lentelė'!H47</f>
        <v>0</v>
      </c>
      <c r="I47" s="97">
        <f>H47+'S_4 lentelė'!I47</f>
        <v>81</v>
      </c>
      <c r="J47" s="97">
        <f>I47+'S_4 lentelė'!J47</f>
        <v>81</v>
      </c>
      <c r="K47" s="97">
        <f>J47+'S_4 lentelė'!K47</f>
        <v>81</v>
      </c>
      <c r="L47" s="97">
        <f>K47+'S_4 lentelė'!L47</f>
        <v>81</v>
      </c>
      <c r="M47" s="97">
        <f>L47+'S_4 lentelė'!M47</f>
        <v>81</v>
      </c>
      <c r="N47" s="97">
        <f>M47+'S_4 lentelė'!N47</f>
        <v>81</v>
      </c>
      <c r="O47" s="95"/>
    </row>
    <row r="48" spans="2:15" s="84" customFormat="1" ht="51.75" x14ac:dyDescent="0.25">
      <c r="B48" s="97" t="s">
        <v>848</v>
      </c>
      <c r="C48" s="99" t="s">
        <v>922</v>
      </c>
      <c r="D48" s="91"/>
      <c r="E48" s="91">
        <f>'S_4 lentelė'!E48</f>
        <v>0</v>
      </c>
      <c r="F48" s="97">
        <f>E48+'S_4 lentelė'!F48</f>
        <v>0</v>
      </c>
      <c r="G48" s="97">
        <f>F48+'S_4 lentelė'!G48</f>
        <v>0</v>
      </c>
      <c r="H48" s="97">
        <f>G48+'S_4 lentelė'!H48</f>
        <v>0</v>
      </c>
      <c r="I48" s="97">
        <f>H48+'S_4 lentelė'!I48</f>
        <v>0</v>
      </c>
      <c r="J48" s="97">
        <f>I48+'S_4 lentelė'!J48</f>
        <v>500</v>
      </c>
      <c r="K48" s="97">
        <f>J48+'S_4 lentelė'!K48</f>
        <v>1091</v>
      </c>
      <c r="L48" s="97">
        <f>K48+'S_4 lentelė'!L48</f>
        <v>4605</v>
      </c>
      <c r="M48" s="97">
        <f>L48+'S_4 lentelė'!M48</f>
        <v>8875</v>
      </c>
      <c r="N48" s="97">
        <f>M48+'S_4 lentelė'!N48</f>
        <v>8875</v>
      </c>
      <c r="O48" s="95"/>
    </row>
    <row r="49" spans="2:15" s="84" customFormat="1" ht="51.75" x14ac:dyDescent="0.25">
      <c r="B49" s="97" t="s">
        <v>923</v>
      </c>
      <c r="C49" s="99" t="s">
        <v>924</v>
      </c>
      <c r="D49" s="91"/>
      <c r="E49" s="91">
        <f>'S_4 lentelė'!E49</f>
        <v>0</v>
      </c>
      <c r="F49" s="97">
        <f>E49+'S_4 lentelė'!F49</f>
        <v>0</v>
      </c>
      <c r="G49" s="97">
        <f>F49+'S_4 lentelė'!G49</f>
        <v>0</v>
      </c>
      <c r="H49" s="97">
        <f>G49+'S_4 lentelė'!H49</f>
        <v>0</v>
      </c>
      <c r="I49" s="97">
        <f>H49+'S_4 lentelė'!I49</f>
        <v>0</v>
      </c>
      <c r="J49" s="97">
        <f>I49+'S_4 lentelė'!J49</f>
        <v>0</v>
      </c>
      <c r="K49" s="97">
        <f>J49+'S_4 lentelė'!K49</f>
        <v>0</v>
      </c>
      <c r="L49" s="97">
        <f>K49+'S_4 lentelė'!L49</f>
        <v>0</v>
      </c>
      <c r="M49" s="97">
        <f>L49+'S_4 lentelė'!M49</f>
        <v>0</v>
      </c>
      <c r="N49" s="97">
        <f>M49+'S_4 lentelė'!N49</f>
        <v>0</v>
      </c>
      <c r="O49" s="95"/>
    </row>
    <row r="50" spans="2:15" s="84" customFormat="1" ht="51.75" x14ac:dyDescent="0.25">
      <c r="B50" s="97" t="s">
        <v>867</v>
      </c>
      <c r="C50" s="99" t="s">
        <v>868</v>
      </c>
      <c r="D50" s="91"/>
      <c r="E50" s="91">
        <f>'S_4 lentelė'!E50</f>
        <v>0</v>
      </c>
      <c r="F50" s="97">
        <f>E50+'S_4 lentelė'!F50</f>
        <v>0</v>
      </c>
      <c r="G50" s="97">
        <f>F50+'S_4 lentelė'!G50</f>
        <v>0</v>
      </c>
      <c r="H50" s="97">
        <f>G50+'S_4 lentelė'!H50</f>
        <v>0</v>
      </c>
      <c r="I50" s="97">
        <f>H50+'S_4 lentelė'!I50</f>
        <v>0</v>
      </c>
      <c r="J50" s="97">
        <f>I50+'S_4 lentelė'!J50</f>
        <v>3</v>
      </c>
      <c r="K50" s="97">
        <f>J50+'S_4 lentelė'!K50</f>
        <v>22</v>
      </c>
      <c r="L50" s="97">
        <f>K50+'S_4 lentelė'!L50</f>
        <v>25</v>
      </c>
      <c r="M50" s="97">
        <f>L50+'S_4 lentelė'!M50</f>
        <v>25</v>
      </c>
      <c r="N50" s="97">
        <f>M50+'S_4 lentelė'!N50</f>
        <v>25</v>
      </c>
      <c r="O50" s="95"/>
    </row>
    <row r="51" spans="2:15" s="84" customFormat="1" ht="64.5" x14ac:dyDescent="0.25">
      <c r="B51" s="97" t="s">
        <v>869</v>
      </c>
      <c r="C51" s="99" t="s">
        <v>873</v>
      </c>
      <c r="D51" s="91"/>
      <c r="E51" s="91">
        <f>'S_4 lentelė'!E51</f>
        <v>0</v>
      </c>
      <c r="F51" s="97">
        <f>E51+'S_4 lentelė'!F51</f>
        <v>0</v>
      </c>
      <c r="G51" s="97">
        <f>F51+'S_4 lentelė'!G51</f>
        <v>0</v>
      </c>
      <c r="H51" s="97">
        <f>G51+'S_4 lentelė'!H51</f>
        <v>0</v>
      </c>
      <c r="I51" s="97">
        <f>H51+'S_4 lentelė'!I51</f>
        <v>0</v>
      </c>
      <c r="J51" s="97">
        <f>I51+'S_4 lentelė'!J51</f>
        <v>15</v>
      </c>
      <c r="K51" s="97">
        <f>J51+'S_4 lentelė'!K51</f>
        <v>131</v>
      </c>
      <c r="L51" s="97">
        <f>K51+'S_4 lentelė'!L51</f>
        <v>291</v>
      </c>
      <c r="M51" s="97">
        <f>L51+'S_4 lentelė'!M51</f>
        <v>291</v>
      </c>
      <c r="N51" s="97">
        <f>M51+'S_4 lentelė'!N51</f>
        <v>291</v>
      </c>
      <c r="O51" s="95"/>
    </row>
    <row r="52" spans="2:15" s="84" customFormat="1" ht="39" x14ac:dyDescent="0.25">
      <c r="B52" s="97" t="s">
        <v>828</v>
      </c>
      <c r="C52" s="98" t="s">
        <v>829</v>
      </c>
      <c r="D52" s="97"/>
      <c r="E52" s="97">
        <f>'S_4 lentelė'!E52</f>
        <v>0</v>
      </c>
      <c r="F52" s="97">
        <f>E52+'S_4 lentelė'!F52</f>
        <v>0</v>
      </c>
      <c r="G52" s="97">
        <f>F52+'S_4 lentelė'!G52</f>
        <v>0</v>
      </c>
      <c r="H52" s="97">
        <f>G52+'S_4 lentelė'!H52</f>
        <v>0</v>
      </c>
      <c r="I52" s="97">
        <f>H52+'S_4 lentelė'!I52</f>
        <v>20.6</v>
      </c>
      <c r="J52" s="97">
        <f>I52+'S_4 lentelė'!J52</f>
        <v>50.6</v>
      </c>
      <c r="K52" s="97">
        <f>J52+'S_4 lentelė'!K52</f>
        <v>102.78999999999999</v>
      </c>
      <c r="L52" s="97">
        <f>K52+'S_4 lentelė'!L52</f>
        <v>102.78999999999999</v>
      </c>
      <c r="M52" s="97">
        <f>L52+'S_4 lentelė'!M52</f>
        <v>112.78999999999999</v>
      </c>
      <c r="N52" s="97">
        <f>M52+'S_4 lentelė'!N52</f>
        <v>112.78999999999999</v>
      </c>
      <c r="O52" s="95"/>
    </row>
    <row r="53" spans="2:15" ht="26.25" x14ac:dyDescent="0.25">
      <c r="B53" s="47" t="s">
        <v>861</v>
      </c>
      <c r="C53" s="45" t="s">
        <v>862</v>
      </c>
      <c r="D53" s="26"/>
      <c r="E53" s="26">
        <f>'S_4 lentelė'!E53</f>
        <v>0</v>
      </c>
      <c r="F53" s="47">
        <f>E53+'S_4 lentelė'!F53</f>
        <v>0</v>
      </c>
      <c r="G53" s="47">
        <f>F53+'S_4 lentelė'!G53</f>
        <v>0</v>
      </c>
      <c r="H53" s="97">
        <f>G53+'S_4 lentelė'!H53</f>
        <v>0</v>
      </c>
      <c r="I53" s="97">
        <f>H53+'S_4 lentelė'!I53</f>
        <v>14</v>
      </c>
      <c r="J53" s="97">
        <f>I53+'S_4 lentelė'!J53</f>
        <v>82</v>
      </c>
      <c r="K53" s="97">
        <f>J53+'S_4 lentelė'!K53</f>
        <v>98</v>
      </c>
      <c r="L53" s="97">
        <f>K53+'S_4 lentelė'!L53</f>
        <v>98</v>
      </c>
      <c r="M53" s="97">
        <f>L53+'S_4 lentelė'!M53</f>
        <v>98</v>
      </c>
      <c r="N53" s="97">
        <f>M53+'S_4 lentelė'!N53</f>
        <v>98</v>
      </c>
      <c r="O53" s="95"/>
    </row>
    <row r="54" spans="2:15" ht="26.25" x14ac:dyDescent="0.25">
      <c r="B54" s="47" t="s">
        <v>775</v>
      </c>
      <c r="C54" s="45" t="s">
        <v>925</v>
      </c>
      <c r="D54" s="26"/>
      <c r="E54" s="26">
        <f>'S_4 lentelė'!E54</f>
        <v>0</v>
      </c>
      <c r="F54" s="47">
        <f>E54+'S_4 lentelė'!F54</f>
        <v>0</v>
      </c>
      <c r="G54" s="47">
        <f>F54+'S_4 lentelė'!G54</f>
        <v>0</v>
      </c>
      <c r="H54" s="97">
        <f>G54+'S_4 lentelė'!H54</f>
        <v>0</v>
      </c>
      <c r="I54" s="97">
        <f>H54+'S_4 lentelė'!I54</f>
        <v>0</v>
      </c>
      <c r="J54" s="97">
        <f>I54+'S_4 lentelė'!J54</f>
        <v>0</v>
      </c>
      <c r="K54" s="97">
        <f>J54+'S_4 lentelė'!K54</f>
        <v>0</v>
      </c>
      <c r="L54" s="97">
        <f>K54+'S_4 lentelė'!L54</f>
        <v>0</v>
      </c>
      <c r="M54" s="97">
        <f>L54+'S_4 lentelė'!M54</f>
        <v>0</v>
      </c>
      <c r="N54" s="120">
        <f>M54+'S_4 lentelė'!N54</f>
        <v>0</v>
      </c>
      <c r="O54" s="95"/>
    </row>
    <row r="55" spans="2:15" ht="39" x14ac:dyDescent="0.25">
      <c r="B55" s="47" t="s">
        <v>838</v>
      </c>
      <c r="C55" s="45" t="s">
        <v>839</v>
      </c>
      <c r="D55" s="26"/>
      <c r="E55" s="26">
        <f>'S_4 lentelė'!E55</f>
        <v>0</v>
      </c>
      <c r="F55" s="47">
        <f>E55+'S_4 lentelė'!F55</f>
        <v>0</v>
      </c>
      <c r="G55" s="47">
        <f>F55+'S_4 lentelė'!G55</f>
        <v>0</v>
      </c>
      <c r="H55" s="97">
        <f>G55+'S_4 lentelė'!H55</f>
        <v>0</v>
      </c>
      <c r="I55" s="97">
        <f>H55+'S_4 lentelė'!I55</f>
        <v>0</v>
      </c>
      <c r="J55" s="97">
        <f>I55+'S_4 lentelė'!J55</f>
        <v>0</v>
      </c>
      <c r="K55" s="97">
        <f>J55+'S_4 lentelė'!K55</f>
        <v>4</v>
      </c>
      <c r="L55" s="97">
        <f>K55+'S_4 lentelė'!L55</f>
        <v>4</v>
      </c>
      <c r="M55" s="97">
        <f>L55+'S_4 lentelė'!M55</f>
        <v>4</v>
      </c>
      <c r="N55" s="97">
        <f>M55+'S_4 lentelė'!N55</f>
        <v>4</v>
      </c>
      <c r="O55" s="95"/>
    </row>
    <row r="56" spans="2:15" ht="26.25" x14ac:dyDescent="0.25">
      <c r="B56" s="47" t="s">
        <v>833</v>
      </c>
      <c r="C56" s="45" t="s">
        <v>834</v>
      </c>
      <c r="D56" s="26"/>
      <c r="E56" s="26">
        <f>'S_4 lentelė'!E56</f>
        <v>0</v>
      </c>
      <c r="F56" s="47">
        <f>E56+'S_4 lentelė'!F56</f>
        <v>0</v>
      </c>
      <c r="G56" s="47">
        <f>F56+'S_4 lentelė'!G56</f>
        <v>0</v>
      </c>
      <c r="H56" s="97">
        <f>G56+'S_4 lentelė'!H56</f>
        <v>0</v>
      </c>
      <c r="I56" s="97">
        <f>H56+'S_4 lentelė'!I56</f>
        <v>0</v>
      </c>
      <c r="J56" s="97">
        <f>I56+'S_4 lentelė'!J56</f>
        <v>0</v>
      </c>
      <c r="K56" s="97">
        <f>J56+'S_4 lentelė'!K56</f>
        <v>0</v>
      </c>
      <c r="L56" s="97">
        <f>K56+'S_4 lentelė'!L56</f>
        <v>0</v>
      </c>
      <c r="M56" s="97">
        <f>L56+'S_4 lentelė'!M56</f>
        <v>2</v>
      </c>
      <c r="N56" s="97">
        <f>M56+'S_4 lentelė'!N56</f>
        <v>2</v>
      </c>
      <c r="O56" s="95"/>
    </row>
    <row r="57" spans="2:15" ht="64.5" x14ac:dyDescent="0.25">
      <c r="B57" s="47" t="s">
        <v>846</v>
      </c>
      <c r="C57" s="45" t="s">
        <v>937</v>
      </c>
      <c r="D57" s="26"/>
      <c r="E57" s="26">
        <f>'S_4 lentelė'!E57</f>
        <v>0</v>
      </c>
      <c r="F57" s="47">
        <f>E57+'S_4 lentelė'!F57</f>
        <v>0</v>
      </c>
      <c r="G57" s="47">
        <f>F57+'S_4 lentelė'!G57</f>
        <v>0</v>
      </c>
      <c r="H57" s="97">
        <f>G57+'S_4 lentelė'!H57</f>
        <v>0</v>
      </c>
      <c r="I57" s="97">
        <f>H57+'S_4 lentelė'!I57</f>
        <v>0</v>
      </c>
      <c r="J57" s="97">
        <f>I57+'S_4 lentelė'!J57</f>
        <v>0</v>
      </c>
      <c r="K57" s="97">
        <f>J57+'S_4 lentelė'!K57</f>
        <v>15</v>
      </c>
      <c r="L57" s="97">
        <f>K57+'S_4 lentelė'!L57</f>
        <v>20</v>
      </c>
      <c r="M57" s="97">
        <f>L57+'S_4 lentelė'!M57</f>
        <v>101</v>
      </c>
      <c r="N57" s="97">
        <f>M57+'S_4 lentelė'!N57</f>
        <v>101</v>
      </c>
      <c r="O57" s="95"/>
    </row>
    <row r="58" spans="2:15" x14ac:dyDescent="0.25">
      <c r="B58" s="47" t="s">
        <v>935</v>
      </c>
      <c r="C58" s="45" t="s">
        <v>936</v>
      </c>
      <c r="D58" s="26"/>
      <c r="E58" s="26">
        <f>'S_4 lentelė'!E58</f>
        <v>0</v>
      </c>
      <c r="F58" s="47">
        <f>E58+'S_4 lentelė'!F58</f>
        <v>0</v>
      </c>
      <c r="G58" s="47">
        <f>F58+'S_4 lentelė'!G58</f>
        <v>0</v>
      </c>
      <c r="H58" s="97">
        <f>G58+'S_4 lentelė'!H58</f>
        <v>0</v>
      </c>
      <c r="I58" s="97">
        <f>H58+'S_4 lentelė'!I58</f>
        <v>0</v>
      </c>
      <c r="J58" s="97">
        <f>I58+'S_4 lentelė'!J58</f>
        <v>0</v>
      </c>
      <c r="K58" s="97">
        <f>J58+'S_4 lentelė'!K58</f>
        <v>9</v>
      </c>
      <c r="L58" s="97">
        <f>K58+'S_4 lentelė'!L58</f>
        <v>9</v>
      </c>
      <c r="M58" s="97">
        <f>L58+'S_4 lentelė'!M58</f>
        <v>9</v>
      </c>
      <c r="N58" s="97">
        <f>M58+'S_4 lentelė'!N58</f>
        <v>9</v>
      </c>
      <c r="O58" s="95"/>
    </row>
    <row r="59" spans="2:15" ht="39" x14ac:dyDescent="0.25">
      <c r="B59" s="97" t="s">
        <v>982</v>
      </c>
      <c r="C59" s="72" t="s">
        <v>983</v>
      </c>
      <c r="D59" s="83"/>
      <c r="E59" s="47">
        <v>0</v>
      </c>
      <c r="F59" s="47">
        <v>0</v>
      </c>
      <c r="G59" s="47">
        <v>0</v>
      </c>
      <c r="H59" s="97">
        <v>0</v>
      </c>
      <c r="I59" s="97">
        <v>0</v>
      </c>
      <c r="J59" s="97">
        <f>'S_4 lentelė'!J59</f>
        <v>21964</v>
      </c>
      <c r="K59" s="97">
        <f>J59+'S_4 lentelė'!K59</f>
        <v>69148</v>
      </c>
      <c r="L59" s="97">
        <f>K59+'S_4 lentelė'!L59</f>
        <v>88870</v>
      </c>
      <c r="M59" s="97">
        <f>L59+'S_4 lentelė'!M59</f>
        <v>88870</v>
      </c>
      <c r="N59" s="97">
        <f>M59+'S_4 lentelė'!N59</f>
        <v>88870</v>
      </c>
      <c r="O59" s="95"/>
    </row>
    <row r="60" spans="2:15" ht="51.75" x14ac:dyDescent="0.25">
      <c r="B60" s="47" t="s">
        <v>984</v>
      </c>
      <c r="C60" s="72" t="s">
        <v>985</v>
      </c>
      <c r="D60" s="83"/>
      <c r="E60" s="47">
        <v>0</v>
      </c>
      <c r="F60" s="47">
        <v>0</v>
      </c>
      <c r="G60" s="47">
        <v>0</v>
      </c>
      <c r="H60" s="97">
        <v>0</v>
      </c>
      <c r="I60" s="97">
        <v>0</v>
      </c>
      <c r="J60" s="97">
        <f>'S_4 lentelė'!J60</f>
        <v>3</v>
      </c>
      <c r="K60" s="97">
        <f>J60+'S_4 lentelė'!K60</f>
        <v>7</v>
      </c>
      <c r="L60" s="97">
        <f>K60+'S_4 lentelė'!L60</f>
        <v>8</v>
      </c>
      <c r="M60" s="97">
        <f>L60+'S_4 lentelė'!M60</f>
        <v>8</v>
      </c>
      <c r="N60" s="97">
        <f>M60+'S_4 lentelė'!N60</f>
        <v>8</v>
      </c>
      <c r="O60" s="95"/>
    </row>
    <row r="61" spans="2:15" ht="39" x14ac:dyDescent="0.25">
      <c r="B61" s="47" t="s">
        <v>1082</v>
      </c>
      <c r="C61" s="72" t="s">
        <v>1044</v>
      </c>
      <c r="D61" s="80"/>
      <c r="E61" s="47">
        <v>0</v>
      </c>
      <c r="F61" s="47">
        <v>0</v>
      </c>
      <c r="G61" s="47">
        <v>0</v>
      </c>
      <c r="H61" s="97">
        <v>0</v>
      </c>
      <c r="I61" s="97">
        <v>0</v>
      </c>
      <c r="J61" s="97">
        <v>0</v>
      </c>
      <c r="K61" s="97">
        <f>J61+'S_4 lentelė'!K61</f>
        <v>0</v>
      </c>
      <c r="L61" s="97">
        <f>K61+'S_4 lentelė'!L61</f>
        <v>0</v>
      </c>
      <c r="M61" s="97">
        <f>L61+'S_4 lentelė'!M61</f>
        <v>0</v>
      </c>
      <c r="N61" s="97">
        <f>M61+'S_4 lentelė'!N61</f>
        <v>0</v>
      </c>
      <c r="O61" s="49"/>
    </row>
    <row r="62" spans="2:15" x14ac:dyDescent="0.25">
      <c r="B62" s="47" t="s">
        <v>1093</v>
      </c>
      <c r="C62" s="72" t="s">
        <v>1094</v>
      </c>
      <c r="D62" s="80"/>
      <c r="E62" s="47">
        <v>0</v>
      </c>
      <c r="F62" s="47">
        <v>0</v>
      </c>
      <c r="G62" s="47">
        <v>0</v>
      </c>
      <c r="H62" s="97">
        <v>0</v>
      </c>
      <c r="I62" s="97">
        <v>0</v>
      </c>
      <c r="J62" s="97">
        <f>'S_4 lentelė'!J62</f>
        <v>50</v>
      </c>
      <c r="K62" s="97">
        <f>J62+'S_4 lentelė'!K62</f>
        <v>100</v>
      </c>
      <c r="L62" s="97">
        <f>K62+'S_4 lentelė'!L62</f>
        <v>200</v>
      </c>
      <c r="M62" s="97">
        <f>L62+'S_4 lentelė'!M62</f>
        <v>200</v>
      </c>
      <c r="N62" s="97">
        <f>M62+'S_4 lentelė'!N62</f>
        <v>200</v>
      </c>
    </row>
    <row r="63" spans="2:15" ht="39" x14ac:dyDescent="0.25">
      <c r="B63" s="47" t="s">
        <v>1095</v>
      </c>
      <c r="C63" s="72" t="s">
        <v>1096</v>
      </c>
      <c r="D63" s="80"/>
      <c r="E63" s="47">
        <v>0</v>
      </c>
      <c r="F63" s="47">
        <v>0</v>
      </c>
      <c r="G63" s="47">
        <v>0</v>
      </c>
      <c r="H63" s="97">
        <v>0</v>
      </c>
      <c r="I63" s="97">
        <v>0</v>
      </c>
      <c r="J63" s="97">
        <f>'3 lentelė'!N124</f>
        <v>0</v>
      </c>
      <c r="K63" s="97">
        <f>J63+'S_4 lentelė'!K63</f>
        <v>0</v>
      </c>
      <c r="L63" s="170">
        <f>'S_4 lentelė'!L63</f>
        <v>2</v>
      </c>
      <c r="M63" s="97">
        <f>L63+'S_4 lentelė'!M63</f>
        <v>2</v>
      </c>
      <c r="N63" s="97">
        <f>M63+'S_4 lentelė'!N63</f>
        <v>2</v>
      </c>
    </row>
    <row r="64" spans="2:15" ht="51.75" x14ac:dyDescent="0.25">
      <c r="B64" s="47" t="s">
        <v>1097</v>
      </c>
      <c r="C64" s="72" t="s">
        <v>1098</v>
      </c>
      <c r="D64" s="80"/>
      <c r="E64" s="47">
        <v>0</v>
      </c>
      <c r="F64" s="47">
        <v>0</v>
      </c>
      <c r="G64" s="47">
        <v>0</v>
      </c>
      <c r="H64" s="97">
        <v>0</v>
      </c>
      <c r="I64" s="97">
        <v>0</v>
      </c>
      <c r="J64" s="97">
        <f>'3 lentelė'!N125</f>
        <v>0</v>
      </c>
      <c r="K64" s="97">
        <f>J64+'S_4 lentelė'!K64</f>
        <v>0</v>
      </c>
      <c r="L64" s="170">
        <f>'S_4 lentelė'!L64</f>
        <v>0.34</v>
      </c>
      <c r="M64" s="97">
        <f>L64+'S_4 lentelė'!M64</f>
        <v>0.34</v>
      </c>
      <c r="N64" s="97">
        <f>M64+'S_4 lentelė'!N64</f>
        <v>0.34</v>
      </c>
    </row>
    <row r="65" spans="8:14" x14ac:dyDescent="0.25">
      <c r="H65" s="49"/>
      <c r="I65" s="49"/>
      <c r="J65" s="49"/>
      <c r="K65" s="49"/>
      <c r="L65" s="49"/>
      <c r="M65" s="49"/>
      <c r="N65" s="49"/>
    </row>
    <row r="66" spans="8:14" x14ac:dyDescent="0.25">
      <c r="H66" s="49"/>
      <c r="I66" s="49"/>
      <c r="J66" s="49"/>
      <c r="K66" s="49"/>
      <c r="L66" s="49"/>
      <c r="M66" s="49"/>
      <c r="N66" s="49"/>
    </row>
    <row r="67" spans="8:14" x14ac:dyDescent="0.25">
      <c r="H67" s="49"/>
      <c r="I67" s="49"/>
      <c r="J67" s="49"/>
      <c r="K67" s="49"/>
      <c r="L67" s="49"/>
      <c r="M67" s="49"/>
      <c r="N67" s="49"/>
    </row>
    <row r="68" spans="8:14" x14ac:dyDescent="0.25">
      <c r="H68" s="49"/>
      <c r="I68" s="49"/>
      <c r="J68" s="49"/>
      <c r="K68" s="49"/>
      <c r="L68" s="49"/>
      <c r="M68" s="49"/>
      <c r="N68" s="49"/>
    </row>
    <row r="69" spans="8:14" x14ac:dyDescent="0.25">
      <c r="H69" s="49"/>
      <c r="I69" s="49"/>
      <c r="J69" s="49"/>
      <c r="K69" s="49"/>
      <c r="L69" s="49"/>
      <c r="M69" s="49"/>
      <c r="N69" s="49"/>
    </row>
    <row r="70" spans="8:14" x14ac:dyDescent="0.25">
      <c r="H70" s="49"/>
      <c r="I70" s="49"/>
      <c r="J70" s="49"/>
      <c r="K70" s="49"/>
      <c r="L70" s="49"/>
      <c r="M70" s="49"/>
      <c r="N70" s="49"/>
    </row>
    <row r="71" spans="8:14" x14ac:dyDescent="0.25">
      <c r="H71" s="49"/>
      <c r="I71" s="49"/>
      <c r="J71" s="49"/>
      <c r="K71" s="49"/>
      <c r="L71" s="49"/>
      <c r="M71" s="49"/>
      <c r="N71" s="49"/>
    </row>
    <row r="72" spans="8:14" x14ac:dyDescent="0.25">
      <c r="H72" s="49"/>
      <c r="I72" s="49"/>
      <c r="J72" s="49"/>
      <c r="K72" s="49"/>
      <c r="L72" s="49"/>
      <c r="M72" s="49"/>
      <c r="N72" s="49"/>
    </row>
    <row r="73" spans="8:14" x14ac:dyDescent="0.25">
      <c r="H73" s="49"/>
      <c r="I73" s="49"/>
      <c r="J73" s="49"/>
      <c r="K73" s="49"/>
      <c r="L73" s="49"/>
      <c r="M73" s="49"/>
      <c r="N73" s="49"/>
    </row>
    <row r="74" spans="8:14" x14ac:dyDescent="0.25">
      <c r="H74" s="49"/>
      <c r="I74" s="49"/>
      <c r="J74" s="49"/>
      <c r="K74" s="49"/>
      <c r="L74" s="49"/>
      <c r="M74" s="49"/>
      <c r="N74" s="49"/>
    </row>
    <row r="75" spans="8:14" x14ac:dyDescent="0.25">
      <c r="H75" s="49"/>
      <c r="I75" s="49"/>
      <c r="J75" s="49"/>
      <c r="K75" s="49"/>
      <c r="L75" s="49"/>
      <c r="M75" s="49"/>
      <c r="N75" s="49"/>
    </row>
    <row r="76" spans="8:14" x14ac:dyDescent="0.25">
      <c r="H76" s="49"/>
      <c r="I76" s="49"/>
      <c r="J76" s="49"/>
      <c r="K76" s="49"/>
      <c r="L76" s="49"/>
      <c r="M76" s="49"/>
      <c r="N76" s="49"/>
    </row>
    <row r="77" spans="8:14" x14ac:dyDescent="0.25">
      <c r="H77" s="49"/>
      <c r="I77" s="49"/>
      <c r="J77" s="49"/>
      <c r="K77" s="49"/>
      <c r="L77" s="49"/>
      <c r="M77" s="49"/>
      <c r="N77" s="49"/>
    </row>
    <row r="78" spans="8:14" x14ac:dyDescent="0.25">
      <c r="H78" s="49"/>
      <c r="I78" s="49"/>
      <c r="J78" s="49"/>
      <c r="K78" s="49"/>
      <c r="L78" s="49"/>
      <c r="M78" s="49"/>
      <c r="N78" s="49"/>
    </row>
    <row r="79" spans="8:14" x14ac:dyDescent="0.25">
      <c r="H79" s="49"/>
      <c r="I79" s="49"/>
      <c r="J79" s="49"/>
      <c r="K79" s="49"/>
      <c r="L79" s="49"/>
      <c r="M79" s="49"/>
      <c r="N79" s="49"/>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2019-03-01T11:27:01Z</cp:lastPrinted>
  <dcterms:created xsi:type="dcterms:W3CDTF">2017-11-23T09:10:18Z</dcterms:created>
  <dcterms:modified xsi:type="dcterms:W3CDTF">2019-03-06T09:13:09Z</dcterms:modified>
</cp:coreProperties>
</file>