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420" windowWidth="19440" windowHeight="1200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s>
  <definedNames>
    <definedName name="_xlnm._FilterDatabase" localSheetId="0" hidden="1">'1 lentelė'!$B$7:$S$62</definedName>
    <definedName name="_xlnm._FilterDatabase" localSheetId="1" hidden="1">'2 lentelė'!$E$8:$V$199</definedName>
    <definedName name="_xlnm.Print_Area" localSheetId="2">'3 lentelė'!$B$1:$E$19</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3" l="1"/>
  <c r="C20" i="3"/>
  <c r="D20" i="3"/>
  <c r="Q194" i="2"/>
  <c r="R194" i="2"/>
  <c r="S195" i="2"/>
  <c r="C174" i="3"/>
  <c r="D174" i="3"/>
  <c r="B174" i="3"/>
  <c r="W26" i="3"/>
  <c r="X26" i="3" s="1"/>
  <c r="D26" i="3"/>
  <c r="C26" i="3"/>
  <c r="B26" i="3"/>
  <c r="R79" i="2" l="1"/>
  <c r="Q73" i="2"/>
  <c r="R73" i="2"/>
  <c r="Q79" i="2"/>
  <c r="D107" i="2"/>
  <c r="B107" i="2"/>
  <c r="N11" i="10" l="1"/>
  <c r="O11" i="10"/>
  <c r="P11" i="10"/>
  <c r="Q11" i="10"/>
  <c r="R11" i="10"/>
  <c r="S11" i="10"/>
  <c r="L35" i="10"/>
  <c r="M35" i="10"/>
  <c r="N35" i="10"/>
  <c r="O35" i="10"/>
  <c r="P35" i="10"/>
  <c r="Q35" i="10"/>
  <c r="R35" i="10"/>
  <c r="S35" i="10"/>
  <c r="J68" i="10"/>
  <c r="N55" i="10"/>
  <c r="O55" i="10"/>
  <c r="P55" i="10"/>
  <c r="Q55" i="10"/>
  <c r="R55" i="10"/>
  <c r="S55" i="10"/>
  <c r="T55" i="10"/>
  <c r="L55" i="10"/>
  <c r="L11" i="10" s="1"/>
  <c r="M55" i="10"/>
  <c r="M11" i="10" s="1"/>
  <c r="Q35" i="2"/>
  <c r="R35" i="2"/>
  <c r="P35" i="2"/>
  <c r="D36" i="11" l="1"/>
  <c r="B36" i="11"/>
  <c r="S36" i="10"/>
  <c r="Q36" i="10"/>
  <c r="R36" i="10" s="1"/>
  <c r="O36" i="10"/>
  <c r="N36" i="10"/>
  <c r="J36" i="10"/>
  <c r="J35" i="10" s="1"/>
  <c r="I36" i="10"/>
  <c r="I35" i="10" s="1"/>
  <c r="H36" i="10"/>
  <c r="H35" i="10" s="1"/>
  <c r="F36" i="10"/>
  <c r="E36" i="10"/>
  <c r="D36" i="10"/>
  <c r="B36" i="10"/>
  <c r="D36" i="3"/>
  <c r="B36" i="3"/>
  <c r="S36" i="2"/>
  <c r="S35" i="2" s="1"/>
  <c r="K36" i="10" l="1"/>
  <c r="K35" i="10" s="1"/>
  <c r="O149" i="10"/>
  <c r="O148" i="10"/>
  <c r="O112" i="10" l="1"/>
  <c r="O58" i="10"/>
  <c r="O18" i="10"/>
  <c r="L144" i="11" l="1"/>
  <c r="M144" i="11"/>
  <c r="N144" i="11"/>
  <c r="M143" i="11"/>
  <c r="N143" i="11"/>
  <c r="L143" i="11"/>
  <c r="G144" i="11"/>
  <c r="H144" i="11"/>
  <c r="I144" i="11"/>
  <c r="H143" i="11"/>
  <c r="I143" i="11"/>
  <c r="G143" i="11"/>
  <c r="H129" i="11"/>
  <c r="I129" i="11"/>
  <c r="G129" i="11"/>
  <c r="H124" i="11"/>
  <c r="I124" i="11"/>
  <c r="G124" i="11"/>
  <c r="R201" i="11" l="1"/>
  <c r="S201" i="11"/>
  <c r="Q201" i="11"/>
  <c r="G197" i="11"/>
  <c r="H197" i="11"/>
  <c r="I197" i="11"/>
  <c r="G198" i="11"/>
  <c r="H198" i="11"/>
  <c r="I198" i="11"/>
  <c r="G199" i="11"/>
  <c r="H199" i="11"/>
  <c r="I199" i="11"/>
  <c r="G200" i="11"/>
  <c r="H200" i="11"/>
  <c r="I200" i="11"/>
  <c r="G201" i="11"/>
  <c r="H201" i="11"/>
  <c r="I201" i="11"/>
  <c r="G202" i="11"/>
  <c r="H202" i="11"/>
  <c r="I202" i="11"/>
  <c r="L197" i="11"/>
  <c r="M197" i="11"/>
  <c r="N197" i="11"/>
  <c r="L198" i="11"/>
  <c r="M198" i="11"/>
  <c r="N198" i="11"/>
  <c r="L199" i="11"/>
  <c r="M199" i="11"/>
  <c r="N199" i="11"/>
  <c r="L200" i="11"/>
  <c r="M200" i="11"/>
  <c r="N200" i="11"/>
  <c r="L201" i="11"/>
  <c r="M201" i="11"/>
  <c r="N201" i="11"/>
  <c r="L202" i="11"/>
  <c r="M202" i="11"/>
  <c r="N202" i="11"/>
  <c r="R196" i="11"/>
  <c r="S196" i="11"/>
  <c r="Q196" i="11"/>
  <c r="M196" i="11"/>
  <c r="N196" i="11"/>
  <c r="L196" i="11"/>
  <c r="H196" i="11"/>
  <c r="I196" i="11"/>
  <c r="G196" i="11"/>
  <c r="G189" i="11"/>
  <c r="H189" i="11"/>
  <c r="I189" i="11"/>
  <c r="G190" i="11"/>
  <c r="H190" i="11"/>
  <c r="I190" i="11"/>
  <c r="G191" i="11"/>
  <c r="H191" i="11"/>
  <c r="I191" i="11"/>
  <c r="G192" i="11"/>
  <c r="H192" i="11"/>
  <c r="I192" i="11"/>
  <c r="G193" i="11"/>
  <c r="H193" i="11"/>
  <c r="I193" i="11"/>
  <c r="H188" i="11"/>
  <c r="I188" i="11"/>
  <c r="G188" i="11"/>
  <c r="G181" i="11"/>
  <c r="H181" i="11"/>
  <c r="I181" i="11"/>
  <c r="G182" i="11"/>
  <c r="H182" i="11"/>
  <c r="I182" i="11"/>
  <c r="G183" i="11"/>
  <c r="H183" i="11"/>
  <c r="I183" i="11"/>
  <c r="G184" i="11"/>
  <c r="H184" i="11"/>
  <c r="I184" i="11"/>
  <c r="G185" i="11"/>
  <c r="H185" i="11"/>
  <c r="I185" i="11"/>
  <c r="H180" i="11"/>
  <c r="I180" i="11"/>
  <c r="G180" i="11"/>
  <c r="N175" i="11"/>
  <c r="G176" i="11"/>
  <c r="H176" i="11"/>
  <c r="I176" i="11"/>
  <c r="L176" i="11"/>
  <c r="M176" i="11"/>
  <c r="N176" i="11"/>
  <c r="Q176" i="11"/>
  <c r="R176" i="11"/>
  <c r="S176" i="11"/>
  <c r="G177" i="11"/>
  <c r="H177" i="11"/>
  <c r="I177" i="11"/>
  <c r="L177" i="11"/>
  <c r="M177" i="11"/>
  <c r="N177" i="11"/>
  <c r="Q177" i="11"/>
  <c r="R177" i="11"/>
  <c r="S177" i="11"/>
  <c r="G178" i="11"/>
  <c r="H178" i="11"/>
  <c r="I178" i="11"/>
  <c r="L178" i="11"/>
  <c r="M178" i="11"/>
  <c r="N178" i="11"/>
  <c r="Q178" i="11"/>
  <c r="R178" i="11"/>
  <c r="S178" i="11"/>
  <c r="R175" i="11"/>
  <c r="S175" i="11"/>
  <c r="Q175" i="11"/>
  <c r="M175" i="11"/>
  <c r="L175" i="11"/>
  <c r="H175" i="11"/>
  <c r="I175" i="11"/>
  <c r="G175" i="11"/>
  <c r="G167" i="11"/>
  <c r="H167" i="11"/>
  <c r="I167" i="11"/>
  <c r="G168" i="11"/>
  <c r="H168" i="11"/>
  <c r="I168" i="11"/>
  <c r="G169" i="11"/>
  <c r="H169" i="11"/>
  <c r="I169" i="11"/>
  <c r="G170" i="11"/>
  <c r="H170" i="11"/>
  <c r="I170" i="11"/>
  <c r="G171" i="11"/>
  <c r="H171" i="11"/>
  <c r="I171" i="11"/>
  <c r="G172" i="11"/>
  <c r="H172" i="11"/>
  <c r="I172" i="11"/>
  <c r="M166" i="11"/>
  <c r="N166" i="11"/>
  <c r="L166" i="11"/>
  <c r="H166" i="11"/>
  <c r="I166" i="11"/>
  <c r="G166" i="11"/>
  <c r="S172" i="10"/>
  <c r="G159" i="11"/>
  <c r="H159" i="11"/>
  <c r="I159" i="11"/>
  <c r="G160" i="11"/>
  <c r="H160" i="11"/>
  <c r="I160" i="11"/>
  <c r="G161" i="11"/>
  <c r="H161" i="11"/>
  <c r="I161" i="11"/>
  <c r="G162" i="11"/>
  <c r="H162" i="11"/>
  <c r="I162" i="11"/>
  <c r="G163" i="11"/>
  <c r="H163" i="11"/>
  <c r="I163" i="11"/>
  <c r="H158" i="11"/>
  <c r="I158" i="11"/>
  <c r="G158" i="11"/>
  <c r="G149" i="11"/>
  <c r="H149" i="11"/>
  <c r="I149" i="11"/>
  <c r="L149" i="11"/>
  <c r="M149" i="11"/>
  <c r="N149" i="11"/>
  <c r="G150" i="11"/>
  <c r="H150" i="11"/>
  <c r="I150" i="11"/>
  <c r="L150" i="11"/>
  <c r="M150" i="11"/>
  <c r="N150" i="11"/>
  <c r="G151" i="11"/>
  <c r="H151" i="11"/>
  <c r="I151" i="11"/>
  <c r="L151" i="11"/>
  <c r="M151" i="11"/>
  <c r="N151" i="11"/>
  <c r="G152" i="11"/>
  <c r="H152" i="11"/>
  <c r="I152" i="11"/>
  <c r="L152" i="11"/>
  <c r="M152" i="11"/>
  <c r="N152" i="11"/>
  <c r="G153" i="11"/>
  <c r="H153" i="11"/>
  <c r="I153" i="11"/>
  <c r="L153" i="11"/>
  <c r="M153" i="11"/>
  <c r="N153" i="11"/>
  <c r="G154" i="11"/>
  <c r="H154" i="11"/>
  <c r="I154" i="11"/>
  <c r="L154" i="11"/>
  <c r="M154" i="11"/>
  <c r="N154" i="11"/>
  <c r="G155" i="11"/>
  <c r="H155" i="11"/>
  <c r="I155" i="11"/>
  <c r="L155" i="11"/>
  <c r="M155" i="11"/>
  <c r="N155" i="11"/>
  <c r="G156" i="11"/>
  <c r="H156" i="11"/>
  <c r="I156" i="11"/>
  <c r="L156" i="11"/>
  <c r="M156" i="11"/>
  <c r="N156" i="11"/>
  <c r="M148" i="11"/>
  <c r="N148" i="11"/>
  <c r="L148" i="11"/>
  <c r="H148" i="11"/>
  <c r="I148" i="11"/>
  <c r="G148" i="11"/>
  <c r="L139" i="11"/>
  <c r="M139" i="11"/>
  <c r="N139" i="11"/>
  <c r="L140" i="11"/>
  <c r="M140" i="11"/>
  <c r="N140" i="11"/>
  <c r="G139" i="11"/>
  <c r="H139" i="11"/>
  <c r="I139" i="11"/>
  <c r="G140" i="11"/>
  <c r="H140" i="11"/>
  <c r="I140" i="11"/>
  <c r="M138" i="11"/>
  <c r="N138" i="11"/>
  <c r="L138" i="11"/>
  <c r="H138" i="11"/>
  <c r="I138" i="11"/>
  <c r="G138" i="11"/>
  <c r="O140" i="10"/>
  <c r="V136" i="11"/>
  <c r="W136" i="11"/>
  <c r="X136" i="11"/>
  <c r="W135" i="11"/>
  <c r="X135" i="11"/>
  <c r="V135" i="11"/>
  <c r="Q136" i="11"/>
  <c r="R136" i="11"/>
  <c r="S136" i="11"/>
  <c r="R135" i="11"/>
  <c r="S135" i="11"/>
  <c r="Q135" i="11"/>
  <c r="L136" i="11"/>
  <c r="M136" i="11"/>
  <c r="N136" i="11"/>
  <c r="M135" i="11"/>
  <c r="N135" i="11"/>
  <c r="L135" i="11"/>
  <c r="G136" i="11"/>
  <c r="H136" i="11"/>
  <c r="I136" i="11"/>
  <c r="H135" i="11"/>
  <c r="I135" i="11"/>
  <c r="G135" i="11"/>
  <c r="L120" i="11"/>
  <c r="M120" i="11"/>
  <c r="N120" i="11"/>
  <c r="L119" i="11"/>
  <c r="M119" i="11"/>
  <c r="N119" i="11"/>
  <c r="AB118" i="11"/>
  <c r="AC118" i="11"/>
  <c r="AA118" i="11"/>
  <c r="W118" i="11"/>
  <c r="X118" i="11"/>
  <c r="V118" i="11"/>
  <c r="Q118" i="11"/>
  <c r="R118" i="11"/>
  <c r="S118" i="11"/>
  <c r="L118" i="11"/>
  <c r="M118" i="11"/>
  <c r="N118" i="11"/>
  <c r="R117" i="11"/>
  <c r="S117" i="11"/>
  <c r="Q117" i="11"/>
  <c r="L117" i="11"/>
  <c r="M117" i="11"/>
  <c r="N117" i="11"/>
  <c r="L116" i="11"/>
  <c r="M116" i="11"/>
  <c r="N116" i="11"/>
  <c r="L115" i="11"/>
  <c r="M115" i="11"/>
  <c r="N115" i="11"/>
  <c r="L114" i="11"/>
  <c r="M114" i="11"/>
  <c r="N114" i="11"/>
  <c r="L113" i="11"/>
  <c r="M113" i="11"/>
  <c r="N113" i="11"/>
  <c r="L112" i="11"/>
  <c r="M112" i="11"/>
  <c r="N112" i="11"/>
  <c r="L111" i="11"/>
  <c r="M111" i="11"/>
  <c r="N111" i="11"/>
  <c r="M110" i="11"/>
  <c r="N110" i="11"/>
  <c r="L110" i="11"/>
  <c r="G117" i="11"/>
  <c r="H117" i="11"/>
  <c r="I117" i="11"/>
  <c r="G118" i="11"/>
  <c r="H118" i="11"/>
  <c r="I118" i="11"/>
  <c r="G119" i="11"/>
  <c r="H119" i="11"/>
  <c r="I119" i="11"/>
  <c r="G120" i="11"/>
  <c r="H120" i="11"/>
  <c r="I120" i="11"/>
  <c r="G114" i="11"/>
  <c r="H114" i="11"/>
  <c r="I114" i="11"/>
  <c r="G115" i="11"/>
  <c r="H115" i="11"/>
  <c r="I115" i="11"/>
  <c r="G116" i="11"/>
  <c r="H116" i="11"/>
  <c r="I116" i="11"/>
  <c r="G112" i="11"/>
  <c r="H112" i="11"/>
  <c r="I112" i="11"/>
  <c r="G113" i="11"/>
  <c r="H113" i="11"/>
  <c r="I113" i="11"/>
  <c r="G111" i="11"/>
  <c r="H111" i="11"/>
  <c r="I111" i="11"/>
  <c r="G110" i="11"/>
  <c r="H110" i="11"/>
  <c r="I110" i="11"/>
  <c r="H109" i="11"/>
  <c r="I109" i="11"/>
  <c r="G109" i="11"/>
  <c r="O119" i="10"/>
  <c r="B119" i="10"/>
  <c r="C119" i="10"/>
  <c r="D119" i="10"/>
  <c r="E119" i="10"/>
  <c r="B120" i="10"/>
  <c r="C120" i="10"/>
  <c r="D120" i="10"/>
  <c r="E120" i="10"/>
  <c r="H117" i="10"/>
  <c r="I117" i="10"/>
  <c r="J117" i="10"/>
  <c r="H115" i="10"/>
  <c r="I115" i="10"/>
  <c r="J115" i="10"/>
  <c r="H110" i="10"/>
  <c r="I110" i="10"/>
  <c r="J110" i="10"/>
  <c r="G103" i="11"/>
  <c r="H103" i="11"/>
  <c r="I103" i="11"/>
  <c r="G104" i="11"/>
  <c r="H104" i="11"/>
  <c r="I104" i="11"/>
  <c r="G105" i="11"/>
  <c r="H105" i="11"/>
  <c r="I105" i="11"/>
  <c r="G106" i="11"/>
  <c r="H106" i="11"/>
  <c r="I106" i="11"/>
  <c r="G107" i="11"/>
  <c r="H107" i="11"/>
  <c r="I107" i="11"/>
  <c r="H102" i="11"/>
  <c r="I102" i="11"/>
  <c r="G102" i="11"/>
  <c r="I102" i="10"/>
  <c r="J102" i="10"/>
  <c r="H102" i="10"/>
  <c r="M99" i="11"/>
  <c r="N99" i="11"/>
  <c r="L99" i="11"/>
  <c r="G100" i="11"/>
  <c r="H100" i="11"/>
  <c r="I100" i="11"/>
  <c r="H99" i="11"/>
  <c r="I99" i="11"/>
  <c r="G99" i="11"/>
  <c r="S94" i="10" l="1"/>
  <c r="W94" i="11"/>
  <c r="X94" i="11"/>
  <c r="V94" i="11"/>
  <c r="AF91" i="11"/>
  <c r="AG91" i="11"/>
  <c r="AH91" i="11"/>
  <c r="AG90" i="11"/>
  <c r="AH90" i="11"/>
  <c r="AF90" i="11"/>
  <c r="B89" i="11"/>
  <c r="C89" i="11"/>
  <c r="D89" i="11"/>
  <c r="G89" i="11"/>
  <c r="H89" i="11"/>
  <c r="I89" i="11"/>
  <c r="B90" i="11"/>
  <c r="C90" i="11"/>
  <c r="D90" i="11"/>
  <c r="G90" i="11"/>
  <c r="H90" i="11"/>
  <c r="I90" i="11"/>
  <c r="L90" i="11"/>
  <c r="M90" i="11"/>
  <c r="N90" i="11"/>
  <c r="Q90" i="11"/>
  <c r="R90" i="11"/>
  <c r="S90" i="11"/>
  <c r="V90" i="11"/>
  <c r="W90" i="11"/>
  <c r="X90" i="11"/>
  <c r="AA90" i="11"/>
  <c r="AB90" i="11"/>
  <c r="AC90" i="11"/>
  <c r="B91" i="11"/>
  <c r="C91" i="11"/>
  <c r="D91" i="11"/>
  <c r="G91" i="11"/>
  <c r="H91" i="11"/>
  <c r="I91" i="11"/>
  <c r="L91" i="11"/>
  <c r="M91" i="11"/>
  <c r="N91" i="11"/>
  <c r="Q91" i="11"/>
  <c r="R91" i="11"/>
  <c r="S91" i="11"/>
  <c r="V91" i="11"/>
  <c r="W91" i="11"/>
  <c r="X91" i="11"/>
  <c r="AA91" i="11"/>
  <c r="AB91" i="11"/>
  <c r="AC91" i="11"/>
  <c r="B92" i="11"/>
  <c r="C92" i="11"/>
  <c r="D92" i="11"/>
  <c r="G92" i="11"/>
  <c r="H92" i="11"/>
  <c r="I92" i="11"/>
  <c r="L92" i="11"/>
  <c r="M92" i="11"/>
  <c r="N92" i="11"/>
  <c r="Q92" i="11"/>
  <c r="R92" i="11"/>
  <c r="S92" i="11"/>
  <c r="V92" i="11"/>
  <c r="W92" i="11"/>
  <c r="X92" i="11"/>
  <c r="B93" i="11"/>
  <c r="C93" i="11"/>
  <c r="D93" i="11"/>
  <c r="G93" i="11"/>
  <c r="H93" i="11"/>
  <c r="I93" i="11"/>
  <c r="B94" i="11"/>
  <c r="C94" i="11"/>
  <c r="D94" i="11"/>
  <c r="G94" i="11"/>
  <c r="H94" i="11"/>
  <c r="I94" i="11"/>
  <c r="Q94" i="11"/>
  <c r="R94" i="11"/>
  <c r="S94" i="11"/>
  <c r="AA94" i="11"/>
  <c r="AB94" i="11"/>
  <c r="AC94" i="11"/>
  <c r="B95" i="11"/>
  <c r="C95" i="11"/>
  <c r="D95" i="11"/>
  <c r="G95" i="11"/>
  <c r="H95" i="11"/>
  <c r="I95" i="11"/>
  <c r="L95" i="11"/>
  <c r="M95" i="11"/>
  <c r="N95" i="11"/>
  <c r="Q95" i="11"/>
  <c r="R95" i="11"/>
  <c r="S95" i="11"/>
  <c r="V95" i="11"/>
  <c r="W95" i="11"/>
  <c r="X95" i="11"/>
  <c r="B96" i="11"/>
  <c r="C96" i="11"/>
  <c r="D96" i="11"/>
  <c r="G96" i="11"/>
  <c r="H96" i="11"/>
  <c r="I96" i="11"/>
  <c r="L96" i="11"/>
  <c r="M96" i="11"/>
  <c r="N96" i="11"/>
  <c r="Q96" i="11"/>
  <c r="R96" i="11"/>
  <c r="S96" i="11"/>
  <c r="V96" i="11"/>
  <c r="W96" i="11"/>
  <c r="X96" i="11"/>
  <c r="AA96" i="11"/>
  <c r="AB96" i="11"/>
  <c r="AC96" i="11"/>
  <c r="B97" i="11"/>
  <c r="C97" i="11"/>
  <c r="D97" i="11"/>
  <c r="G97" i="11"/>
  <c r="H97" i="11"/>
  <c r="I97" i="11"/>
  <c r="L97" i="11"/>
  <c r="M97" i="11"/>
  <c r="N97" i="11"/>
  <c r="Q97" i="11"/>
  <c r="R97" i="11"/>
  <c r="S97" i="11"/>
  <c r="V97" i="11"/>
  <c r="W97" i="11"/>
  <c r="X97" i="11"/>
  <c r="AA97" i="11"/>
  <c r="AB97" i="11"/>
  <c r="AC97" i="11"/>
  <c r="B88" i="11"/>
  <c r="C88" i="11"/>
  <c r="D88" i="11"/>
  <c r="G88" i="11"/>
  <c r="H88" i="11"/>
  <c r="I88" i="11"/>
  <c r="L88" i="11"/>
  <c r="M88" i="11"/>
  <c r="N88" i="11"/>
  <c r="Q88" i="11"/>
  <c r="R88" i="11"/>
  <c r="S88" i="11"/>
  <c r="V88" i="11"/>
  <c r="W88" i="11"/>
  <c r="X88" i="11"/>
  <c r="AA88" i="11"/>
  <c r="AB88" i="11"/>
  <c r="AC88" i="11"/>
  <c r="AG87" i="11"/>
  <c r="AH87" i="11"/>
  <c r="AF87" i="11"/>
  <c r="AB87" i="11"/>
  <c r="AC87" i="11"/>
  <c r="AA87" i="11"/>
  <c r="X87" i="11"/>
  <c r="W87" i="11"/>
  <c r="V87" i="11"/>
  <c r="R87" i="11"/>
  <c r="S87" i="11"/>
  <c r="Q87" i="11"/>
  <c r="M87" i="11"/>
  <c r="N87" i="11"/>
  <c r="L87" i="11"/>
  <c r="H87" i="11"/>
  <c r="I87" i="11"/>
  <c r="G87" i="11"/>
  <c r="G82" i="11"/>
  <c r="H82" i="11"/>
  <c r="I82" i="11"/>
  <c r="J82" i="11"/>
  <c r="K82" i="11"/>
  <c r="G83" i="11"/>
  <c r="H83" i="11"/>
  <c r="I83" i="11"/>
  <c r="J83" i="11"/>
  <c r="K83" i="11"/>
  <c r="H81" i="11"/>
  <c r="I81" i="11"/>
  <c r="J81" i="11"/>
  <c r="K81" i="11"/>
  <c r="G81" i="11"/>
  <c r="I61" i="10"/>
  <c r="J61" i="10"/>
  <c r="K61" i="10"/>
  <c r="B61" i="10"/>
  <c r="C61" i="10"/>
  <c r="D61" i="10"/>
  <c r="E61" i="10"/>
  <c r="S59" i="10" l="1"/>
  <c r="S44" i="10"/>
  <c r="S47" i="10"/>
  <c r="O47" i="10"/>
  <c r="S41" i="10"/>
  <c r="I26" i="11" l="1"/>
  <c r="I14" i="11"/>
  <c r="I15" i="11"/>
  <c r="I17" i="11"/>
  <c r="D201" i="3"/>
  <c r="C201" i="3"/>
  <c r="B201" i="3"/>
  <c r="D200" i="3"/>
  <c r="C200" i="3"/>
  <c r="B200" i="3"/>
  <c r="D199" i="3"/>
  <c r="C199" i="3"/>
  <c r="B199" i="3"/>
  <c r="D198" i="3"/>
  <c r="C198" i="3"/>
  <c r="B198" i="3"/>
  <c r="D197" i="3"/>
  <c r="C197" i="3"/>
  <c r="B197" i="3"/>
  <c r="D196" i="3"/>
  <c r="C196" i="3"/>
  <c r="B196" i="3"/>
  <c r="D195" i="3"/>
  <c r="C195" i="3"/>
  <c r="B195" i="3"/>
  <c r="D194" i="3"/>
  <c r="B194" i="3"/>
  <c r="D193" i="3"/>
  <c r="B193" i="3"/>
  <c r="D192" i="3"/>
  <c r="C192" i="3"/>
  <c r="B192" i="3"/>
  <c r="D191" i="3"/>
  <c r="C191" i="3"/>
  <c r="B191" i="3"/>
  <c r="D190" i="3"/>
  <c r="C190" i="3"/>
  <c r="B190" i="3"/>
  <c r="D189" i="3"/>
  <c r="C189" i="3"/>
  <c r="B189" i="3"/>
  <c r="D188" i="3"/>
  <c r="C188" i="3"/>
  <c r="B188" i="3"/>
  <c r="D187" i="3"/>
  <c r="C187" i="3"/>
  <c r="B187" i="3"/>
  <c r="D186" i="3"/>
  <c r="B186" i="3"/>
  <c r="D185" i="3"/>
  <c r="B185" i="3"/>
  <c r="D184" i="3"/>
  <c r="C184" i="3"/>
  <c r="B184" i="3"/>
  <c r="D183" i="3"/>
  <c r="C183" i="3"/>
  <c r="B183" i="3"/>
  <c r="D182" i="3"/>
  <c r="C182" i="3"/>
  <c r="B182" i="3"/>
  <c r="D181" i="3"/>
  <c r="C181" i="3"/>
  <c r="B181" i="3"/>
  <c r="D180" i="3"/>
  <c r="C180" i="3"/>
  <c r="B180" i="3"/>
  <c r="D179" i="3"/>
  <c r="C179" i="3"/>
  <c r="B179" i="3"/>
  <c r="D178" i="3"/>
  <c r="B178" i="3"/>
  <c r="D177" i="3"/>
  <c r="C177" i="3"/>
  <c r="B177" i="3"/>
  <c r="D176" i="3"/>
  <c r="C176" i="3"/>
  <c r="B176" i="3"/>
  <c r="D175" i="3"/>
  <c r="C175" i="3"/>
  <c r="B175" i="3"/>
  <c r="D173" i="3"/>
  <c r="B173" i="3"/>
  <c r="D172" i="3"/>
  <c r="B172" i="3"/>
  <c r="D171" i="3"/>
  <c r="C171" i="3"/>
  <c r="B171" i="3"/>
  <c r="D170" i="3"/>
  <c r="C170" i="3"/>
  <c r="B170" i="3"/>
  <c r="D169" i="3"/>
  <c r="C169" i="3"/>
  <c r="B169" i="3"/>
  <c r="D168" i="3"/>
  <c r="C168" i="3"/>
  <c r="B168" i="3"/>
  <c r="D167" i="3"/>
  <c r="C167" i="3"/>
  <c r="B167" i="3"/>
  <c r="D166" i="3"/>
  <c r="C166" i="3"/>
  <c r="B166" i="3"/>
  <c r="D165" i="3"/>
  <c r="C165" i="3"/>
  <c r="B165" i="3"/>
  <c r="D164" i="3"/>
  <c r="B164" i="3"/>
  <c r="D163" i="3"/>
  <c r="B163" i="3"/>
  <c r="D162" i="3"/>
  <c r="C162" i="3"/>
  <c r="B162" i="3"/>
  <c r="D161" i="3"/>
  <c r="C161" i="3"/>
  <c r="B161" i="3"/>
  <c r="D160" i="3"/>
  <c r="C160" i="3"/>
  <c r="B160" i="3"/>
  <c r="D159" i="3"/>
  <c r="C159" i="3"/>
  <c r="B159" i="3"/>
  <c r="D158" i="3"/>
  <c r="C158" i="3"/>
  <c r="B158" i="3"/>
  <c r="D157" i="3"/>
  <c r="C157" i="3"/>
  <c r="B157" i="3"/>
  <c r="D156" i="3"/>
  <c r="B156" i="3"/>
  <c r="D155" i="3"/>
  <c r="C155" i="3"/>
  <c r="B155" i="3"/>
  <c r="D154" i="3"/>
  <c r="C154" i="3"/>
  <c r="B154" i="3"/>
  <c r="D153" i="3"/>
  <c r="C153" i="3"/>
  <c r="B153" i="3"/>
  <c r="D152" i="3"/>
  <c r="C152" i="3"/>
  <c r="B152" i="3"/>
  <c r="D151" i="3"/>
  <c r="C151" i="3"/>
  <c r="B151" i="3"/>
  <c r="D150" i="3"/>
  <c r="C150" i="3"/>
  <c r="B150" i="3"/>
  <c r="D149" i="3"/>
  <c r="C149" i="3"/>
  <c r="B149" i="3"/>
  <c r="D148" i="3"/>
  <c r="C148" i="3"/>
  <c r="B148" i="3"/>
  <c r="D147" i="3"/>
  <c r="C147" i="3"/>
  <c r="B147" i="3"/>
  <c r="D146" i="3"/>
  <c r="B146" i="3"/>
  <c r="D145" i="3"/>
  <c r="B145" i="3"/>
  <c r="D144" i="3"/>
  <c r="B144" i="3"/>
  <c r="D143" i="3"/>
  <c r="C143" i="3"/>
  <c r="B143" i="3"/>
  <c r="D142" i="3"/>
  <c r="C142" i="3"/>
  <c r="B142" i="3"/>
  <c r="D141" i="3"/>
  <c r="B141" i="3"/>
  <c r="D140" i="3"/>
  <c r="B140" i="3"/>
  <c r="D139" i="3"/>
  <c r="C139" i="3"/>
  <c r="B139" i="3"/>
  <c r="D138" i="3"/>
  <c r="C138" i="3"/>
  <c r="B138" i="3"/>
  <c r="D137" i="3"/>
  <c r="C137" i="3"/>
  <c r="B137" i="3"/>
  <c r="D136" i="3"/>
  <c r="B136" i="3"/>
  <c r="D135" i="3"/>
  <c r="C135" i="3"/>
  <c r="B135" i="3"/>
  <c r="D134" i="3"/>
  <c r="C134" i="3"/>
  <c r="B134" i="3"/>
  <c r="D133" i="3"/>
  <c r="B133" i="3"/>
  <c r="D132" i="3"/>
  <c r="B132" i="3"/>
  <c r="D131" i="3"/>
  <c r="B131" i="3"/>
  <c r="D130" i="3"/>
  <c r="B130" i="3"/>
  <c r="D129" i="3"/>
  <c r="C129" i="3"/>
  <c r="B129" i="3"/>
  <c r="D128" i="3"/>
  <c r="B128" i="3"/>
  <c r="D127" i="3"/>
  <c r="B127" i="3"/>
  <c r="D126" i="3"/>
  <c r="B126" i="3"/>
  <c r="D125" i="3"/>
  <c r="B125" i="3"/>
  <c r="D124" i="3"/>
  <c r="C124" i="3"/>
  <c r="B124" i="3"/>
  <c r="D123" i="3"/>
  <c r="B123" i="3"/>
  <c r="D122" i="3"/>
  <c r="B122" i="3"/>
  <c r="D121" i="3"/>
  <c r="B121" i="3"/>
  <c r="D120" i="3"/>
  <c r="C120" i="3"/>
  <c r="B120" i="3"/>
  <c r="D119" i="3"/>
  <c r="C119" i="3"/>
  <c r="B119" i="3"/>
  <c r="D118" i="3"/>
  <c r="C118" i="3"/>
  <c r="B118" i="3"/>
  <c r="D117" i="3"/>
  <c r="C117" i="3"/>
  <c r="B117" i="3"/>
  <c r="D116" i="3"/>
  <c r="C116" i="3"/>
  <c r="B116" i="3"/>
  <c r="D115" i="3"/>
  <c r="C115" i="3"/>
  <c r="B115" i="3"/>
  <c r="D114" i="3"/>
  <c r="C114" i="3"/>
  <c r="B114" i="3"/>
  <c r="D113" i="3"/>
  <c r="C113" i="3"/>
  <c r="B113" i="3"/>
  <c r="D112" i="3"/>
  <c r="C112" i="3"/>
  <c r="B112" i="3"/>
  <c r="D111" i="3"/>
  <c r="C111" i="3"/>
  <c r="B111" i="3"/>
  <c r="D110" i="3"/>
  <c r="C110" i="3"/>
  <c r="B110" i="3"/>
  <c r="D109" i="3"/>
  <c r="C109" i="3"/>
  <c r="B109" i="3"/>
  <c r="D108" i="3"/>
  <c r="B108" i="3"/>
  <c r="D107" i="3"/>
  <c r="B107" i="3"/>
  <c r="D106" i="3"/>
  <c r="C106" i="3"/>
  <c r="B106" i="3"/>
  <c r="D105" i="3"/>
  <c r="C105" i="3"/>
  <c r="B105" i="3"/>
  <c r="D104" i="3"/>
  <c r="C104" i="3"/>
  <c r="B104" i="3"/>
  <c r="D103" i="3"/>
  <c r="C103" i="3"/>
  <c r="B103" i="3"/>
  <c r="D102" i="3"/>
  <c r="C102" i="3"/>
  <c r="B102" i="3"/>
  <c r="D101" i="3"/>
  <c r="C101" i="3"/>
  <c r="B101" i="3"/>
  <c r="D100" i="3"/>
  <c r="C100" i="3"/>
  <c r="B100" i="3"/>
  <c r="D99" i="3"/>
  <c r="C99" i="3"/>
  <c r="B99" i="3"/>
  <c r="D98" i="3"/>
  <c r="C98" i="3"/>
  <c r="B98" i="3"/>
  <c r="D97" i="3"/>
  <c r="B97" i="3"/>
  <c r="D96" i="3"/>
  <c r="C96" i="3"/>
  <c r="B96" i="3"/>
  <c r="D95" i="3"/>
  <c r="C95" i="3"/>
  <c r="B95" i="3"/>
  <c r="D94" i="3"/>
  <c r="C94" i="3"/>
  <c r="B94" i="3"/>
  <c r="D93" i="3"/>
  <c r="C93" i="3"/>
  <c r="B93" i="3"/>
  <c r="D92" i="3"/>
  <c r="C92" i="3"/>
  <c r="B92" i="3"/>
  <c r="D91" i="3"/>
  <c r="C91" i="3"/>
  <c r="B91" i="3"/>
  <c r="D90" i="3"/>
  <c r="C90" i="3"/>
  <c r="B90" i="3"/>
  <c r="D89" i="3"/>
  <c r="C89" i="3"/>
  <c r="B89" i="3"/>
  <c r="D88" i="3"/>
  <c r="C88" i="3"/>
  <c r="B88" i="3"/>
  <c r="D87" i="3"/>
  <c r="C87" i="3"/>
  <c r="B87" i="3"/>
  <c r="D86" i="3"/>
  <c r="C86" i="3"/>
  <c r="B86" i="3"/>
  <c r="D85" i="3"/>
  <c r="B85" i="3"/>
  <c r="D84" i="3"/>
  <c r="B84" i="3"/>
  <c r="D83" i="3"/>
  <c r="B83" i="3"/>
  <c r="D81" i="3"/>
  <c r="C81" i="3"/>
  <c r="B81" i="3"/>
  <c r="D80" i="3"/>
  <c r="C80" i="3"/>
  <c r="B80" i="3"/>
  <c r="D79" i="3"/>
  <c r="B79" i="3"/>
  <c r="D78" i="3"/>
  <c r="B78" i="3"/>
  <c r="D77" i="3"/>
  <c r="C77" i="3"/>
  <c r="B77" i="3"/>
  <c r="D76" i="3"/>
  <c r="C76" i="3"/>
  <c r="B76" i="3"/>
  <c r="D75" i="3"/>
  <c r="C75" i="3"/>
  <c r="B75" i="3"/>
  <c r="D74" i="3"/>
  <c r="C74" i="3"/>
  <c r="B74" i="3"/>
  <c r="D73" i="3"/>
  <c r="B73" i="3"/>
  <c r="D72" i="3"/>
  <c r="B72" i="3"/>
  <c r="D71" i="3"/>
  <c r="B71" i="3"/>
  <c r="D70" i="3"/>
  <c r="B70" i="3"/>
  <c r="D69" i="3"/>
  <c r="C69" i="3"/>
  <c r="B69" i="3"/>
  <c r="D68" i="3"/>
  <c r="B68" i="3"/>
  <c r="D66" i="3"/>
  <c r="C66" i="3"/>
  <c r="B66" i="3"/>
  <c r="D65" i="3"/>
  <c r="C65" i="3"/>
  <c r="B65" i="3"/>
  <c r="D64" i="3"/>
  <c r="C64" i="3"/>
  <c r="B64" i="3"/>
  <c r="D62" i="3"/>
  <c r="B62" i="3"/>
  <c r="D61" i="3"/>
  <c r="C61" i="3"/>
  <c r="B61" i="3"/>
  <c r="D60" i="3"/>
  <c r="C60" i="3"/>
  <c r="B60" i="3"/>
  <c r="D59" i="3"/>
  <c r="C59" i="3"/>
  <c r="B59" i="3"/>
  <c r="D58" i="3"/>
  <c r="C58" i="3"/>
  <c r="B58" i="3"/>
  <c r="D57" i="3"/>
  <c r="C57" i="3"/>
  <c r="B57" i="3"/>
  <c r="D55" i="3"/>
  <c r="B55" i="3"/>
  <c r="D54" i="3"/>
  <c r="B54" i="3"/>
  <c r="D53" i="3"/>
  <c r="C53" i="3"/>
  <c r="B53" i="3"/>
  <c r="D52" i="3"/>
  <c r="C52" i="3"/>
  <c r="B52" i="3"/>
  <c r="D51" i="3"/>
  <c r="C51" i="3"/>
  <c r="B51" i="3"/>
  <c r="D50" i="3"/>
  <c r="C50" i="3"/>
  <c r="B50" i="3"/>
  <c r="D49" i="3"/>
  <c r="C49" i="3"/>
  <c r="B49" i="3"/>
  <c r="D48" i="3"/>
  <c r="C48" i="3"/>
  <c r="B48" i="3"/>
  <c r="D47" i="3"/>
  <c r="C47" i="3"/>
  <c r="B47" i="3"/>
  <c r="D46" i="3"/>
  <c r="C46" i="3"/>
  <c r="B46" i="3"/>
  <c r="D45" i="3"/>
  <c r="C45" i="3"/>
  <c r="B45" i="3"/>
  <c r="D44" i="3"/>
  <c r="C44" i="3"/>
  <c r="B44" i="3"/>
  <c r="D43" i="3"/>
  <c r="C43" i="3"/>
  <c r="B43" i="3"/>
  <c r="D42" i="3"/>
  <c r="C42" i="3"/>
  <c r="B42" i="3"/>
  <c r="D41" i="3"/>
  <c r="C41" i="3"/>
  <c r="B41" i="3"/>
  <c r="D40" i="3"/>
  <c r="B40" i="3"/>
  <c r="D39" i="3"/>
  <c r="B39" i="3"/>
  <c r="D38" i="3"/>
  <c r="B38" i="3"/>
  <c r="D37" i="3"/>
  <c r="B37" i="3"/>
  <c r="D35" i="3"/>
  <c r="B35" i="3"/>
  <c r="D34" i="3"/>
  <c r="B34" i="3"/>
  <c r="D33" i="3"/>
  <c r="C33" i="3"/>
  <c r="B33" i="3"/>
  <c r="W32" i="3"/>
  <c r="X32" i="3" s="1"/>
  <c r="D32" i="3"/>
  <c r="B32" i="3"/>
  <c r="W31" i="3"/>
  <c r="X31" i="3" s="1"/>
  <c r="D31" i="3"/>
  <c r="B31" i="3"/>
  <c r="W30" i="3"/>
  <c r="X30" i="3" s="1"/>
  <c r="D30" i="3"/>
  <c r="C30" i="3"/>
  <c r="B30" i="3"/>
  <c r="W29" i="3"/>
  <c r="X29" i="3" s="1"/>
  <c r="D29" i="3"/>
  <c r="C29" i="3"/>
  <c r="B29" i="3"/>
  <c r="W28" i="3"/>
  <c r="X28" i="3" s="1"/>
  <c r="D28" i="3"/>
  <c r="C28" i="3"/>
  <c r="B28" i="3"/>
  <c r="W27" i="3"/>
  <c r="X27" i="3" s="1"/>
  <c r="D27" i="3"/>
  <c r="B27" i="3"/>
  <c r="D25" i="3"/>
  <c r="C25" i="3"/>
  <c r="B25" i="3"/>
  <c r="W24" i="3"/>
  <c r="X24" i="3" s="1"/>
  <c r="D24" i="3"/>
  <c r="C24" i="3"/>
  <c r="B24" i="3"/>
  <c r="W23" i="3"/>
  <c r="X23" i="3" s="1"/>
  <c r="D23" i="3"/>
  <c r="C23" i="3"/>
  <c r="B23" i="3"/>
  <c r="W22" i="3"/>
  <c r="X22" i="3" s="1"/>
  <c r="D22" i="3"/>
  <c r="C22" i="3"/>
  <c r="B22" i="3"/>
  <c r="W21" i="3"/>
  <c r="X21" i="3" s="1"/>
  <c r="D21" i="3"/>
  <c r="C21" i="3"/>
  <c r="B21" i="3"/>
  <c r="W20" i="3"/>
  <c r="X20" i="3" s="1"/>
  <c r="W19" i="3"/>
  <c r="D19" i="3"/>
  <c r="C19" i="3"/>
  <c r="B19" i="3"/>
  <c r="W18" i="3"/>
  <c r="X18" i="3" s="1"/>
  <c r="D18" i="3"/>
  <c r="C18" i="3"/>
  <c r="B18" i="3"/>
  <c r="W17" i="3"/>
  <c r="X17" i="3" s="1"/>
  <c r="D17" i="3"/>
  <c r="C17" i="3"/>
  <c r="B17" i="3"/>
  <c r="W16" i="3"/>
  <c r="X16" i="3" s="1"/>
  <c r="D16" i="3"/>
  <c r="C16" i="3"/>
  <c r="B16" i="3"/>
  <c r="W15" i="3"/>
  <c r="X15" i="3" s="1"/>
  <c r="D15" i="3"/>
  <c r="C15" i="3"/>
  <c r="B15" i="3"/>
  <c r="W14" i="3"/>
  <c r="X14" i="3" s="1"/>
  <c r="D14" i="3"/>
  <c r="C14" i="3"/>
  <c r="B14" i="3"/>
  <c r="W13" i="3"/>
  <c r="X13" i="3" s="1"/>
  <c r="D13" i="3"/>
  <c r="C13" i="3"/>
  <c r="B13" i="3"/>
  <c r="D201" i="9" l="1"/>
  <c r="C201" i="9"/>
  <c r="B201" i="9"/>
  <c r="D200" i="9"/>
  <c r="C200" i="9"/>
  <c r="B200" i="9"/>
  <c r="D199" i="9"/>
  <c r="C199" i="9"/>
  <c r="B199" i="9"/>
  <c r="D198" i="9"/>
  <c r="C198" i="9"/>
  <c r="B198" i="9"/>
  <c r="D197" i="9"/>
  <c r="C197" i="9"/>
  <c r="B197" i="9"/>
  <c r="D196" i="9"/>
  <c r="C196" i="9"/>
  <c r="B196" i="9"/>
  <c r="D195" i="9"/>
  <c r="C195" i="9"/>
  <c r="B195" i="9"/>
  <c r="D194" i="9"/>
  <c r="B194" i="9"/>
  <c r="D193" i="9"/>
  <c r="B193" i="9"/>
  <c r="D192" i="9"/>
  <c r="C192" i="9"/>
  <c r="B192" i="9"/>
  <c r="D191" i="9"/>
  <c r="C191" i="9"/>
  <c r="B191" i="9"/>
  <c r="D190" i="9"/>
  <c r="C190" i="9"/>
  <c r="B190" i="9"/>
  <c r="D189" i="9"/>
  <c r="C189" i="9"/>
  <c r="B189" i="9"/>
  <c r="D188" i="9"/>
  <c r="C188" i="9"/>
  <c r="B188" i="9"/>
  <c r="D187" i="9"/>
  <c r="C187" i="9"/>
  <c r="B187" i="9"/>
  <c r="D186" i="9"/>
  <c r="B186" i="9"/>
  <c r="D185" i="9"/>
  <c r="B185" i="9"/>
  <c r="D184" i="9"/>
  <c r="C184" i="9"/>
  <c r="B184" i="9"/>
  <c r="D183" i="9"/>
  <c r="C183" i="9"/>
  <c r="B183" i="9"/>
  <c r="D182" i="9"/>
  <c r="C182" i="9"/>
  <c r="B182" i="9"/>
  <c r="D181" i="9"/>
  <c r="C181" i="9"/>
  <c r="B181" i="9"/>
  <c r="D180" i="9"/>
  <c r="C180" i="9"/>
  <c r="B180" i="9"/>
  <c r="D179" i="9"/>
  <c r="C179" i="9"/>
  <c r="B179" i="9"/>
  <c r="D178" i="9"/>
  <c r="B178" i="9"/>
  <c r="D177" i="9"/>
  <c r="C177" i="9"/>
  <c r="B177" i="9"/>
  <c r="D176" i="9"/>
  <c r="C176" i="9"/>
  <c r="B176" i="9"/>
  <c r="D175" i="9"/>
  <c r="C175" i="9"/>
  <c r="B175" i="9"/>
  <c r="D174" i="9"/>
  <c r="C174" i="9"/>
  <c r="B174" i="9"/>
  <c r="D173" i="9"/>
  <c r="C173" i="9"/>
  <c r="B173" i="9"/>
  <c r="D172" i="9"/>
  <c r="C172" i="9"/>
  <c r="B172" i="9"/>
  <c r="D171" i="9"/>
  <c r="C171" i="9"/>
  <c r="B171" i="9"/>
  <c r="D170" i="9"/>
  <c r="C170" i="9"/>
  <c r="B170" i="9"/>
  <c r="D169" i="9"/>
  <c r="C169" i="9"/>
  <c r="B169" i="9"/>
  <c r="D168" i="9"/>
  <c r="C168" i="9"/>
  <c r="B168" i="9"/>
  <c r="D167" i="9"/>
  <c r="C167" i="9"/>
  <c r="B167" i="9"/>
  <c r="D166" i="9"/>
  <c r="C166" i="9"/>
  <c r="B166" i="9"/>
  <c r="D165" i="9"/>
  <c r="C165" i="9"/>
  <c r="B165" i="9"/>
  <c r="D164" i="9"/>
  <c r="B164" i="9"/>
  <c r="D163" i="9"/>
  <c r="B163" i="9"/>
  <c r="D162" i="9"/>
  <c r="C162" i="9"/>
  <c r="B162" i="9"/>
  <c r="D161" i="9"/>
  <c r="C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C151" i="9"/>
  <c r="B151" i="9"/>
  <c r="D150" i="9"/>
  <c r="C150" i="9"/>
  <c r="B150" i="9"/>
  <c r="D149" i="9"/>
  <c r="C149" i="9"/>
  <c r="B149" i="9"/>
  <c r="D148" i="9"/>
  <c r="C148" i="9"/>
  <c r="B148" i="9"/>
  <c r="D147" i="9"/>
  <c r="C147" i="9"/>
  <c r="B147" i="9"/>
  <c r="D146" i="9"/>
  <c r="B146" i="9"/>
  <c r="D145" i="9"/>
  <c r="B145" i="9"/>
  <c r="D144" i="9"/>
  <c r="B144" i="9"/>
  <c r="D143" i="9"/>
  <c r="C143" i="9"/>
  <c r="B143" i="9"/>
  <c r="D142" i="9"/>
  <c r="C142" i="9"/>
  <c r="B142" i="9"/>
  <c r="D141" i="9"/>
  <c r="C141" i="9"/>
  <c r="B141" i="9"/>
  <c r="D140" i="9"/>
  <c r="C140" i="9"/>
  <c r="B140" i="9"/>
  <c r="D139" i="9"/>
  <c r="C139" i="9"/>
  <c r="B139" i="9"/>
  <c r="D138" i="9"/>
  <c r="C138" i="9"/>
  <c r="B138" i="9"/>
  <c r="D137" i="9"/>
  <c r="C137" i="9"/>
  <c r="B137" i="9"/>
  <c r="D136" i="9"/>
  <c r="B136" i="9"/>
  <c r="D135" i="9"/>
  <c r="C135" i="9"/>
  <c r="B135" i="9"/>
  <c r="D134" i="9"/>
  <c r="C134" i="9"/>
  <c r="B134" i="9"/>
  <c r="D133" i="9"/>
  <c r="B133" i="9"/>
  <c r="D132" i="9"/>
  <c r="B132" i="9"/>
  <c r="D131" i="9"/>
  <c r="B131" i="9"/>
  <c r="D130" i="9"/>
  <c r="B130" i="9"/>
  <c r="D129" i="9"/>
  <c r="C129" i="9"/>
  <c r="B129" i="9"/>
  <c r="D128" i="9"/>
  <c r="B128" i="9"/>
  <c r="D127" i="9"/>
  <c r="B127" i="9"/>
  <c r="D126" i="9"/>
  <c r="B126" i="9"/>
  <c r="D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C113" i="9"/>
  <c r="B113" i="9"/>
  <c r="D112" i="9"/>
  <c r="C112" i="9"/>
  <c r="B112" i="9"/>
  <c r="D111" i="9"/>
  <c r="C111" i="9"/>
  <c r="B111" i="9"/>
  <c r="D110" i="9"/>
  <c r="C110" i="9"/>
  <c r="B110" i="9"/>
  <c r="D109" i="9"/>
  <c r="C109" i="9"/>
  <c r="B109" i="9"/>
  <c r="D108" i="9"/>
  <c r="B108" i="9"/>
  <c r="D107" i="9"/>
  <c r="B107" i="9"/>
  <c r="D106" i="9"/>
  <c r="C106" i="9"/>
  <c r="B106" i="9"/>
  <c r="D105" i="9"/>
  <c r="C105" i="9"/>
  <c r="B105" i="9"/>
  <c r="D104" i="9"/>
  <c r="C104" i="9"/>
  <c r="B104" i="9"/>
  <c r="D103" i="9"/>
  <c r="C103" i="9"/>
  <c r="B103" i="9"/>
  <c r="D102" i="9"/>
  <c r="C102" i="9"/>
  <c r="B102" i="9"/>
  <c r="D101" i="9"/>
  <c r="C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C89" i="9"/>
  <c r="B89" i="9"/>
  <c r="D88" i="9"/>
  <c r="C88" i="9"/>
  <c r="B88" i="9"/>
  <c r="D87" i="9"/>
  <c r="C87" i="9"/>
  <c r="B87" i="9"/>
  <c r="D86" i="9"/>
  <c r="C86" i="9"/>
  <c r="B86" i="9"/>
  <c r="D85" i="9"/>
  <c r="B85" i="9"/>
  <c r="D84" i="9"/>
  <c r="B84" i="9"/>
  <c r="D83" i="9"/>
  <c r="B83" i="9"/>
  <c r="D81" i="9"/>
  <c r="C81" i="9"/>
  <c r="B81" i="9"/>
  <c r="D80" i="9"/>
  <c r="C80" i="9"/>
  <c r="B80" i="9"/>
  <c r="D79" i="9"/>
  <c r="B79" i="9"/>
  <c r="D78" i="9"/>
  <c r="C78" i="9"/>
  <c r="B78" i="9"/>
  <c r="D77" i="9"/>
  <c r="C77" i="9"/>
  <c r="B77" i="9"/>
  <c r="D76" i="9"/>
  <c r="C76" i="9"/>
  <c r="B76" i="9"/>
  <c r="D75" i="9"/>
  <c r="C75" i="9"/>
  <c r="B75" i="9"/>
  <c r="D74" i="9"/>
  <c r="C74" i="9"/>
  <c r="B74" i="9"/>
  <c r="D73" i="9"/>
  <c r="B73" i="9"/>
  <c r="D72" i="9"/>
  <c r="B72" i="9"/>
  <c r="D71" i="9"/>
  <c r="B71" i="9"/>
  <c r="D70" i="9"/>
  <c r="B70" i="9"/>
  <c r="D69" i="9"/>
  <c r="C69" i="9"/>
  <c r="B69" i="9"/>
  <c r="D67" i="9"/>
  <c r="B67" i="9"/>
  <c r="D65" i="9"/>
  <c r="C65" i="9"/>
  <c r="B65" i="9"/>
  <c r="D64" i="9"/>
  <c r="C64" i="9"/>
  <c r="B64" i="9"/>
  <c r="D63" i="9"/>
  <c r="C63" i="9"/>
  <c r="B63" i="9"/>
  <c r="D61" i="9"/>
  <c r="C61" i="9"/>
  <c r="B61" i="9"/>
  <c r="D60" i="9"/>
  <c r="C60" i="9"/>
  <c r="B60" i="9"/>
  <c r="D59" i="9"/>
  <c r="C59" i="9"/>
  <c r="B59" i="9"/>
  <c r="D58" i="9"/>
  <c r="C58" i="9"/>
  <c r="B58" i="9"/>
  <c r="D57" i="9"/>
  <c r="C57" i="9"/>
  <c r="B57" i="9"/>
  <c r="D56" i="9"/>
  <c r="C56" i="9"/>
  <c r="B56" i="9"/>
  <c r="D54" i="9"/>
  <c r="B54" i="9"/>
  <c r="D53" i="9"/>
  <c r="B53" i="9"/>
  <c r="D52" i="9"/>
  <c r="C52" i="9"/>
  <c r="B52" i="9"/>
  <c r="D51" i="9"/>
  <c r="C51" i="9"/>
  <c r="B51" i="9"/>
  <c r="D50" i="9"/>
  <c r="C50" i="9"/>
  <c r="B50" i="9"/>
  <c r="D49" i="9"/>
  <c r="C49" i="9"/>
  <c r="B49" i="9"/>
  <c r="D48" i="9"/>
  <c r="C48" i="9"/>
  <c r="B48" i="9"/>
  <c r="D47" i="9"/>
  <c r="C47" i="9"/>
  <c r="B47" i="9"/>
  <c r="D46" i="9"/>
  <c r="C46" i="9"/>
  <c r="B46" i="9"/>
  <c r="D45" i="9"/>
  <c r="C45" i="9"/>
  <c r="B45" i="9"/>
  <c r="D44" i="9"/>
  <c r="C44" i="9"/>
  <c r="B44" i="9"/>
  <c r="D43" i="9"/>
  <c r="C43" i="9"/>
  <c r="B43" i="9"/>
  <c r="D42" i="9"/>
  <c r="C42" i="9"/>
  <c r="B42" i="9"/>
  <c r="D41" i="9"/>
  <c r="C41" i="9"/>
  <c r="B41" i="9"/>
  <c r="D40" i="9"/>
  <c r="C40" i="9"/>
  <c r="B40" i="9"/>
  <c r="D39" i="9"/>
  <c r="B39" i="9"/>
  <c r="D38" i="9"/>
  <c r="B38" i="9"/>
  <c r="D37" i="9"/>
  <c r="B37" i="9"/>
  <c r="D36" i="9"/>
  <c r="B36" i="9"/>
  <c r="D35" i="9"/>
  <c r="B35" i="9"/>
  <c r="D34" i="9"/>
  <c r="C34" i="9"/>
  <c r="B34" i="9"/>
  <c r="D33" i="9"/>
  <c r="C33" i="9"/>
  <c r="B33" i="9"/>
  <c r="D32" i="9"/>
  <c r="C32" i="9"/>
  <c r="B32" i="9"/>
  <c r="D31" i="9"/>
  <c r="C31" i="9"/>
  <c r="B31" i="9"/>
  <c r="D30" i="9"/>
  <c r="C30" i="9"/>
  <c r="B30" i="9"/>
  <c r="D29" i="9"/>
  <c r="C29" i="9"/>
  <c r="B29" i="9"/>
  <c r="D28" i="9"/>
  <c r="C28" i="9"/>
  <c r="B28" i="9"/>
  <c r="D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P12" i="2"/>
  <c r="Q12" i="2"/>
  <c r="R12" i="2"/>
  <c r="S13" i="2"/>
  <c r="S14" i="2"/>
  <c r="S15" i="2"/>
  <c r="S16" i="2"/>
  <c r="S17" i="2"/>
  <c r="S18" i="2"/>
  <c r="S19" i="2"/>
  <c r="S21" i="2"/>
  <c r="S22" i="2"/>
  <c r="S23" i="2"/>
  <c r="S24" i="2"/>
  <c r="S25" i="2"/>
  <c r="P27" i="2"/>
  <c r="Q27" i="2"/>
  <c r="R27" i="2"/>
  <c r="S28" i="2"/>
  <c r="S29" i="2"/>
  <c r="S30" i="2"/>
  <c r="P32" i="2"/>
  <c r="Q32" i="2"/>
  <c r="R32" i="2"/>
  <c r="S33" i="2"/>
  <c r="S32" i="2" s="1"/>
  <c r="Q40" i="2"/>
  <c r="R40" i="2"/>
  <c r="S41" i="2"/>
  <c r="S42" i="2"/>
  <c r="S44" i="2"/>
  <c r="S45" i="2"/>
  <c r="S46" i="2"/>
  <c r="S47" i="2"/>
  <c r="S48" i="2"/>
  <c r="S49" i="2"/>
  <c r="S50" i="2"/>
  <c r="S51" i="2"/>
  <c r="P52" i="2"/>
  <c r="P53" i="2"/>
  <c r="Q55" i="2"/>
  <c r="R55" i="2"/>
  <c r="S57" i="2"/>
  <c r="S58" i="2"/>
  <c r="S59" i="2"/>
  <c r="P60" i="2"/>
  <c r="P61" i="2"/>
  <c r="H61" i="10" s="1"/>
  <c r="Q62" i="2"/>
  <c r="R62" i="2"/>
  <c r="S64" i="2"/>
  <c r="S65" i="2"/>
  <c r="S66" i="2"/>
  <c r="P67" i="2"/>
  <c r="Q68" i="2"/>
  <c r="R68" i="2"/>
  <c r="S68" i="2"/>
  <c r="P73" i="2"/>
  <c r="S74" i="2"/>
  <c r="S76" i="2"/>
  <c r="S77" i="2"/>
  <c r="S80" i="2"/>
  <c r="S79" i="2" s="1"/>
  <c r="P81" i="2"/>
  <c r="P82" i="2"/>
  <c r="P85" i="2"/>
  <c r="Q85" i="2"/>
  <c r="R85" i="2"/>
  <c r="S86" i="2"/>
  <c r="S87" i="2"/>
  <c r="S88" i="2"/>
  <c r="S89" i="2"/>
  <c r="S90" i="2"/>
  <c r="S91" i="2"/>
  <c r="S92" i="2"/>
  <c r="S94" i="2"/>
  <c r="S95" i="2"/>
  <c r="S96" i="2"/>
  <c r="P97" i="2"/>
  <c r="Q97" i="2"/>
  <c r="R97" i="2"/>
  <c r="S98" i="2"/>
  <c r="S99" i="2"/>
  <c r="P100" i="2"/>
  <c r="Q100" i="2"/>
  <c r="R100" i="2"/>
  <c r="S101" i="2"/>
  <c r="K102" i="10" s="1"/>
  <c r="S102" i="2"/>
  <c r="S103" i="2"/>
  <c r="S104" i="2"/>
  <c r="S105" i="2"/>
  <c r="S106" i="2"/>
  <c r="P108" i="2"/>
  <c r="Q108" i="2"/>
  <c r="R108" i="2"/>
  <c r="W108" i="2"/>
  <c r="S109" i="2"/>
  <c r="S110" i="2"/>
  <c r="K110" i="10" s="1"/>
  <c r="S111" i="2"/>
  <c r="S112" i="2"/>
  <c r="S113" i="2"/>
  <c r="S114" i="2"/>
  <c r="S115" i="2"/>
  <c r="K115" i="10" s="1"/>
  <c r="S116" i="2"/>
  <c r="S117" i="2"/>
  <c r="K117" i="10" s="1"/>
  <c r="S118" i="2"/>
  <c r="S119" i="2"/>
  <c r="S120" i="2"/>
  <c r="P123" i="2"/>
  <c r="Q123" i="2"/>
  <c r="R123" i="2"/>
  <c r="S124" i="2"/>
  <c r="S123" i="2" s="1"/>
  <c r="P128" i="2"/>
  <c r="Q128" i="2"/>
  <c r="R128" i="2"/>
  <c r="S129" i="2"/>
  <c r="S128" i="2" s="1"/>
  <c r="P133" i="2"/>
  <c r="Q133" i="2"/>
  <c r="R133" i="2"/>
  <c r="S134" i="2"/>
  <c r="S135" i="2"/>
  <c r="P136" i="2"/>
  <c r="Q136" i="2"/>
  <c r="R136" i="2"/>
  <c r="S138" i="2"/>
  <c r="S139" i="2"/>
  <c r="P141" i="2"/>
  <c r="Q141" i="2"/>
  <c r="R141" i="2"/>
  <c r="S142" i="2"/>
  <c r="S143" i="2"/>
  <c r="P146" i="2"/>
  <c r="Q146" i="2"/>
  <c r="R146" i="2"/>
  <c r="S147" i="2"/>
  <c r="S148" i="2"/>
  <c r="S149" i="2"/>
  <c r="S150" i="2"/>
  <c r="S151" i="2"/>
  <c r="S152" i="2"/>
  <c r="S153" i="2"/>
  <c r="S154" i="2"/>
  <c r="S155" i="2"/>
  <c r="P156" i="2"/>
  <c r="Q156" i="2"/>
  <c r="R156" i="2"/>
  <c r="S157" i="2"/>
  <c r="S158" i="2"/>
  <c r="S159" i="2"/>
  <c r="S160" i="2"/>
  <c r="S161" i="2"/>
  <c r="S162" i="2"/>
  <c r="P164" i="2"/>
  <c r="Q164" i="2"/>
  <c r="R164" i="2"/>
  <c r="S165" i="2"/>
  <c r="S166" i="2"/>
  <c r="S167" i="2"/>
  <c r="S168" i="2"/>
  <c r="S169" i="2"/>
  <c r="S170" i="2"/>
  <c r="S171" i="2"/>
  <c r="P173" i="2"/>
  <c r="Q173" i="2"/>
  <c r="R173" i="2"/>
  <c r="S175" i="2"/>
  <c r="S176" i="2"/>
  <c r="S177" i="2"/>
  <c r="P178" i="2"/>
  <c r="Q178" i="2"/>
  <c r="R178" i="2"/>
  <c r="S179" i="2"/>
  <c r="S180" i="2"/>
  <c r="S181" i="2"/>
  <c r="S182" i="2"/>
  <c r="S183" i="2"/>
  <c r="S184" i="2"/>
  <c r="P186" i="2"/>
  <c r="Q186" i="2"/>
  <c r="R186" i="2"/>
  <c r="S187" i="2"/>
  <c r="S188" i="2"/>
  <c r="S189" i="2"/>
  <c r="S190" i="2"/>
  <c r="S191" i="2"/>
  <c r="S196" i="2"/>
  <c r="S197" i="2"/>
  <c r="S198" i="2"/>
  <c r="S199" i="2"/>
  <c r="S200" i="2"/>
  <c r="P201" i="2"/>
  <c r="P194" i="2" s="1"/>
  <c r="S73" i="2" l="1"/>
  <c r="S194" i="2"/>
  <c r="P79" i="2"/>
  <c r="S133" i="2"/>
  <c r="S27" i="2"/>
  <c r="S178" i="2"/>
  <c r="S156" i="2"/>
  <c r="S146" i="2"/>
  <c r="S108" i="2"/>
  <c r="S85" i="2"/>
  <c r="P68" i="2"/>
  <c r="P55" i="2"/>
  <c r="S186" i="2"/>
  <c r="S164" i="2"/>
  <c r="S141" i="2"/>
  <c r="S136" i="2"/>
  <c r="S97" i="2"/>
  <c r="S173" i="2"/>
  <c r="S100" i="2"/>
  <c r="S62" i="2"/>
  <c r="S55" i="2"/>
  <c r="S40" i="2"/>
  <c r="P40" i="2" s="1"/>
  <c r="S12" i="2"/>
  <c r="P62" i="2"/>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O148" i="14" s="1"/>
  <c r="P148" i="14" s="1"/>
  <c r="G148" i="14" s="1"/>
  <c r="R148" i="14"/>
  <c r="Q148" i="14"/>
  <c r="AD136" i="14" l="1"/>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79" i="10" l="1"/>
  <c r="M79" i="10"/>
  <c r="N79" i="10"/>
  <c r="O79" i="10"/>
  <c r="P79" i="10"/>
  <c r="K60" i="14" s="1"/>
  <c r="Q79" i="10"/>
  <c r="L60" i="14" s="1"/>
  <c r="R79" i="10"/>
  <c r="S79" i="10"/>
  <c r="M60" i="14" s="1"/>
  <c r="L42" i="14"/>
  <c r="S201" i="10" l="1"/>
  <c r="S200" i="10"/>
  <c r="S198" i="10"/>
  <c r="S197" i="10"/>
  <c r="S193" i="10"/>
  <c r="S191" i="10"/>
  <c r="S190" i="10"/>
  <c r="O189" i="10"/>
  <c r="S185" i="10"/>
  <c r="S184" i="10"/>
  <c r="S183" i="10"/>
  <c r="S182" i="10"/>
  <c r="S180" i="10"/>
  <c r="S167" i="10"/>
  <c r="S161" i="10"/>
  <c r="S160" i="10"/>
  <c r="S159" i="10"/>
  <c r="S158" i="10"/>
  <c r="S156" i="10"/>
  <c r="S152" i="10"/>
  <c r="S143" i="10"/>
  <c r="S140" i="10"/>
  <c r="O138" i="10"/>
  <c r="L133" i="10"/>
  <c r="M133" i="10"/>
  <c r="N133" i="10"/>
  <c r="O133" i="10"/>
  <c r="P133" i="10"/>
  <c r="K108" i="14" s="1"/>
  <c r="Q133" i="10"/>
  <c r="R133" i="10"/>
  <c r="E136" i="10"/>
  <c r="O135" i="10"/>
  <c r="M108" i="10"/>
  <c r="N108" i="10"/>
  <c r="Q108" i="10"/>
  <c r="L82" i="14" s="1"/>
  <c r="R108" i="10"/>
  <c r="L117" i="10"/>
  <c r="O116" i="10"/>
  <c r="S110" i="10"/>
  <c r="O110" i="10"/>
  <c r="O108" i="10" s="1"/>
  <c r="S104" i="10"/>
  <c r="L108" i="14" l="1"/>
  <c r="C70" i="11"/>
  <c r="D70" i="11"/>
  <c r="B70" i="11"/>
  <c r="S96" i="10"/>
  <c r="S92" i="10"/>
  <c r="S89" i="10"/>
  <c r="I82" i="10"/>
  <c r="J82" i="10"/>
  <c r="K82" i="10"/>
  <c r="I83" i="10"/>
  <c r="J83" i="10"/>
  <c r="K83" i="10"/>
  <c r="J81" i="10"/>
  <c r="I81" i="10"/>
  <c r="H81" i="10"/>
  <c r="B81" i="10"/>
  <c r="C81" i="10"/>
  <c r="D81" i="10"/>
  <c r="E81" i="10"/>
  <c r="F81" i="10"/>
  <c r="B82" i="10"/>
  <c r="C82" i="10"/>
  <c r="D82" i="10"/>
  <c r="E82" i="10"/>
  <c r="F82" i="10"/>
  <c r="B83" i="10"/>
  <c r="C83" i="10"/>
  <c r="D83" i="10"/>
  <c r="E83" i="10"/>
  <c r="F83" i="10"/>
  <c r="O77" i="10"/>
  <c r="K69" i="10"/>
  <c r="I69" i="10"/>
  <c r="H69" i="10"/>
  <c r="H68" i="10" s="1"/>
  <c r="C69" i="10"/>
  <c r="D69" i="10"/>
  <c r="E69" i="10"/>
  <c r="B69" i="10"/>
  <c r="B60" i="10"/>
  <c r="C60" i="10"/>
  <c r="D60" i="10"/>
  <c r="E60" i="10"/>
  <c r="I60" i="10"/>
  <c r="J60" i="10"/>
  <c r="K60" i="10"/>
  <c r="K42" i="14"/>
  <c r="S58" i="10"/>
  <c r="O48" i="10"/>
  <c r="S46" i="10"/>
  <c r="S42" i="10"/>
  <c r="O42" i="10"/>
  <c r="V29" i="10"/>
  <c r="V28" i="10"/>
  <c r="B156" i="11"/>
  <c r="C156" i="11"/>
  <c r="D156" i="11"/>
  <c r="L147" i="10"/>
  <c r="M147" i="10"/>
  <c r="N147" i="10"/>
  <c r="Q147" i="10"/>
  <c r="R147" i="10"/>
  <c r="B156" i="10"/>
  <c r="C156" i="10"/>
  <c r="D156" i="10"/>
  <c r="E156" i="10"/>
  <c r="H156" i="10"/>
  <c r="I156" i="10"/>
  <c r="J156" i="10"/>
  <c r="B136" i="11"/>
  <c r="C136" i="11"/>
  <c r="D136" i="11"/>
  <c r="B82" i="11"/>
  <c r="C82" i="11"/>
  <c r="D82" i="11"/>
  <c r="B83" i="11"/>
  <c r="C83" i="11"/>
  <c r="D83" i="11"/>
  <c r="G60" i="11"/>
  <c r="H60" i="11"/>
  <c r="I60" i="11"/>
  <c r="G61" i="11"/>
  <c r="H61" i="11"/>
  <c r="I61" i="11"/>
  <c r="B61" i="11"/>
  <c r="C61" i="11"/>
  <c r="D61" i="11"/>
  <c r="B60" i="11"/>
  <c r="C60" i="11"/>
  <c r="D60" i="11"/>
  <c r="I68" i="10" l="1"/>
  <c r="I48" i="14" s="1"/>
  <c r="K68" i="10"/>
  <c r="J48" i="14" s="1"/>
  <c r="J79" i="10"/>
  <c r="F61" i="14"/>
  <c r="L125" i="14"/>
  <c r="I79" i="10"/>
  <c r="I60" i="14" s="1"/>
  <c r="H48" i="14"/>
  <c r="P24" i="10" l="1"/>
  <c r="H136" i="10" l="1"/>
  <c r="I136" i="10"/>
  <c r="J136" i="10"/>
  <c r="D136" i="10"/>
  <c r="C136" i="10"/>
  <c r="B136" i="10"/>
  <c r="K156" i="10"/>
  <c r="K136" i="10"/>
  <c r="H83" i="10"/>
  <c r="H82" i="10"/>
  <c r="H60" i="10"/>
  <c r="H79" i="10" l="1"/>
  <c r="H60" i="14" s="1"/>
  <c r="K81" i="10"/>
  <c r="K79" i="10" s="1"/>
  <c r="J60" i="14" s="1"/>
  <c r="S199" i="10"/>
  <c r="S192" i="10" l="1"/>
  <c r="S189" i="10"/>
  <c r="B180" i="10"/>
  <c r="S178" i="10"/>
  <c r="S176" i="10"/>
  <c r="S171" i="10"/>
  <c r="S170" i="10"/>
  <c r="S169" i="10"/>
  <c r="S168" i="10"/>
  <c r="S166" i="10"/>
  <c r="S163" i="10"/>
  <c r="S162" i="10"/>
  <c r="S155" i="10"/>
  <c r="S154" i="10"/>
  <c r="S151" i="10"/>
  <c r="S150" i="10"/>
  <c r="S149" i="10"/>
  <c r="S148" i="10"/>
  <c r="S144" i="10"/>
  <c r="S147" i="10" l="1"/>
  <c r="M125" i="14" s="1"/>
  <c r="S139" i="10"/>
  <c r="S135" i="10"/>
  <c r="S133" i="10" s="1"/>
  <c r="M108" i="14" s="1"/>
  <c r="S117" i="10"/>
  <c r="S116" i="10"/>
  <c r="S114" i="10"/>
  <c r="S107" i="10"/>
  <c r="S106" i="10"/>
  <c r="S105" i="10"/>
  <c r="S103" i="10"/>
  <c r="S102" i="10"/>
  <c r="S108" i="10" l="1"/>
  <c r="M82" i="14" s="1"/>
  <c r="S99" i="10"/>
  <c r="O94" i="10"/>
  <c r="S97" i="10"/>
  <c r="S95" i="10"/>
  <c r="S91" i="10"/>
  <c r="S90" i="10"/>
  <c r="S88" i="10"/>
  <c r="S87" i="10"/>
  <c r="S77" i="10"/>
  <c r="S76" i="10"/>
  <c r="S75" i="10"/>
  <c r="S74" i="10"/>
  <c r="S57" i="10"/>
  <c r="M42" i="14" s="1"/>
  <c r="P18" i="10" l="1"/>
  <c r="P14" i="10" l="1"/>
  <c r="B120" i="11" l="1"/>
  <c r="C120" i="11"/>
  <c r="D120" i="11"/>
  <c r="B119" i="11"/>
  <c r="C119" i="11"/>
  <c r="D119" i="11"/>
  <c r="H120" i="10"/>
  <c r="I120" i="10"/>
  <c r="J120" i="10"/>
  <c r="J119" i="10"/>
  <c r="I119" i="10"/>
  <c r="H119" i="10"/>
  <c r="L195" i="10" l="1"/>
  <c r="M195" i="10"/>
  <c r="N195" i="10"/>
  <c r="O195" i="10"/>
  <c r="Q195" i="10"/>
  <c r="R195" i="10"/>
  <c r="S195" i="10"/>
  <c r="M149" i="14" s="1"/>
  <c r="L187" i="10"/>
  <c r="M187" i="10"/>
  <c r="N187" i="10"/>
  <c r="Q187" i="10"/>
  <c r="L145" i="14" s="1"/>
  <c r="R187" i="10"/>
  <c r="S187" i="10"/>
  <c r="M145" i="14" s="1"/>
  <c r="L179" i="10"/>
  <c r="M179" i="10"/>
  <c r="N179" i="10"/>
  <c r="O179" i="10"/>
  <c r="Q179" i="10"/>
  <c r="R179" i="10"/>
  <c r="S179" i="10"/>
  <c r="M141" i="14" s="1"/>
  <c r="L174" i="10"/>
  <c r="M174" i="10"/>
  <c r="N174" i="10"/>
  <c r="O174" i="10"/>
  <c r="Q174" i="10"/>
  <c r="R174" i="10"/>
  <c r="S174" i="10"/>
  <c r="M137" i="14" s="1"/>
  <c r="L165" i="10"/>
  <c r="M165" i="10"/>
  <c r="N165" i="10"/>
  <c r="O165" i="10"/>
  <c r="Q165" i="10"/>
  <c r="R165" i="10"/>
  <c r="S165" i="10"/>
  <c r="M132" i="14" s="1"/>
  <c r="L157" i="10"/>
  <c r="M157" i="10"/>
  <c r="N157" i="10"/>
  <c r="Q157" i="10"/>
  <c r="R157" i="10"/>
  <c r="S157" i="10"/>
  <c r="M128" i="14" s="1"/>
  <c r="L142" i="10"/>
  <c r="M142" i="10"/>
  <c r="N142" i="10"/>
  <c r="O142" i="10"/>
  <c r="Q142" i="10"/>
  <c r="R142" i="10"/>
  <c r="S142" i="10"/>
  <c r="M118" i="14" s="1"/>
  <c r="L137" i="10"/>
  <c r="M137" i="10"/>
  <c r="N137" i="10"/>
  <c r="O137" i="10"/>
  <c r="Q137" i="10"/>
  <c r="R137" i="10"/>
  <c r="L128" i="10"/>
  <c r="M128" i="10"/>
  <c r="N128" i="10"/>
  <c r="O128" i="10"/>
  <c r="P128" i="10"/>
  <c r="K100" i="14" s="1"/>
  <c r="Q128" i="10"/>
  <c r="L100" i="14" s="1"/>
  <c r="R128" i="10"/>
  <c r="S128" i="10"/>
  <c r="M100" i="14" s="1"/>
  <c r="L123" i="10"/>
  <c r="M123" i="10"/>
  <c r="N123" i="10"/>
  <c r="O123" i="10"/>
  <c r="P123" i="10"/>
  <c r="K92" i="14" s="1"/>
  <c r="Q123" i="10"/>
  <c r="R123" i="10"/>
  <c r="L92" i="14" s="1"/>
  <c r="S123" i="10"/>
  <c r="M92" i="14" s="1"/>
  <c r="L101" i="10"/>
  <c r="M101" i="10"/>
  <c r="N101" i="10"/>
  <c r="Q101" i="10"/>
  <c r="L80" i="14" s="1"/>
  <c r="R101" i="10"/>
  <c r="L98" i="10"/>
  <c r="M98" i="10"/>
  <c r="N98" i="10"/>
  <c r="Q98" i="10"/>
  <c r="L77" i="14" s="1"/>
  <c r="R98" i="10"/>
  <c r="S98" i="10"/>
  <c r="M77" i="14" s="1"/>
  <c r="M86" i="10"/>
  <c r="N86" i="10"/>
  <c r="Q86" i="10"/>
  <c r="L69" i="14" s="1"/>
  <c r="R86" i="10"/>
  <c r="L73" i="10"/>
  <c r="M73" i="10"/>
  <c r="N73" i="10"/>
  <c r="O73" i="10"/>
  <c r="Q73" i="10"/>
  <c r="L55" i="14" s="1"/>
  <c r="R73" i="10"/>
  <c r="S73" i="10"/>
  <c r="M55" i="14" s="1"/>
  <c r="L68" i="10"/>
  <c r="M68" i="10"/>
  <c r="N68" i="10"/>
  <c r="O68" i="10"/>
  <c r="P68" i="10"/>
  <c r="K48" i="14" s="1"/>
  <c r="Q68" i="10"/>
  <c r="L48" i="14" s="1"/>
  <c r="R68" i="10"/>
  <c r="S68" i="10"/>
  <c r="M48" i="14" s="1"/>
  <c r="L62" i="10"/>
  <c r="M62" i="10"/>
  <c r="N62" i="10"/>
  <c r="O62" i="10"/>
  <c r="P62" i="10"/>
  <c r="K45" i="14" s="1"/>
  <c r="Q62" i="10"/>
  <c r="L45" i="14" s="1"/>
  <c r="R62" i="10"/>
  <c r="S62" i="10"/>
  <c r="M45" i="14" s="1"/>
  <c r="M40" i="10"/>
  <c r="N40" i="10"/>
  <c r="Q40" i="10"/>
  <c r="L36" i="14" s="1"/>
  <c r="R40" i="10"/>
  <c r="S40" i="10"/>
  <c r="M36" i="14" s="1"/>
  <c r="L40" i="10"/>
  <c r="L32" i="10"/>
  <c r="M32" i="10"/>
  <c r="N32" i="10"/>
  <c r="O32" i="10"/>
  <c r="P32" i="10"/>
  <c r="K22" i="14" s="1"/>
  <c r="Q32" i="10"/>
  <c r="L22" i="14" s="1"/>
  <c r="R32" i="10"/>
  <c r="S32" i="10"/>
  <c r="M22" i="14" s="1"/>
  <c r="L27" i="10"/>
  <c r="M27" i="10"/>
  <c r="N27" i="10"/>
  <c r="O27" i="10"/>
  <c r="Q27" i="10"/>
  <c r="L17" i="14" s="1"/>
  <c r="R27" i="10"/>
  <c r="S27" i="10"/>
  <c r="M17" i="14" s="1"/>
  <c r="M12" i="10"/>
  <c r="N12" i="10"/>
  <c r="O12" i="10"/>
  <c r="Q12" i="10"/>
  <c r="R12" i="10"/>
  <c r="S12" i="10"/>
  <c r="L132" i="14" l="1"/>
  <c r="L128" i="14"/>
  <c r="L113" i="14"/>
  <c r="L14" i="14"/>
  <c r="M14" i="14"/>
  <c r="L141" i="14"/>
  <c r="L118" i="14"/>
  <c r="L137" i="14"/>
  <c r="L149" i="14"/>
  <c r="V27" i="10"/>
  <c r="H150" i="10"/>
  <c r="L115" i="10" l="1"/>
  <c r="L108" i="10" s="1"/>
  <c r="L97" i="10"/>
  <c r="L95" i="10"/>
  <c r="L86" i="10" s="1"/>
  <c r="P29" i="10"/>
  <c r="P27" i="10" s="1"/>
  <c r="K17" i="14" s="1"/>
  <c r="P196" i="10"/>
  <c r="B135" i="10"/>
  <c r="C135" i="10"/>
  <c r="D135" i="10"/>
  <c r="E135" i="10"/>
  <c r="H135" i="10"/>
  <c r="H133" i="10" s="1"/>
  <c r="H108" i="14" s="1"/>
  <c r="I135" i="10"/>
  <c r="I133" i="10" s="1"/>
  <c r="J135" i="10"/>
  <c r="J133" i="10" s="1"/>
  <c r="V135" i="10"/>
  <c r="P153" i="10"/>
  <c r="P147" i="10" s="1"/>
  <c r="K125" i="14" s="1"/>
  <c r="P181" i="10"/>
  <c r="P177" i="10"/>
  <c r="I108" i="14" l="1"/>
  <c r="P165" i="10"/>
  <c r="K132" i="14" s="1"/>
  <c r="P187" i="10"/>
  <c r="K145" i="14" s="1"/>
  <c r="P174" i="10"/>
  <c r="K137" i="14" s="1"/>
  <c r="P157" i="10"/>
  <c r="K128" i="14" s="1"/>
  <c r="P195" i="10"/>
  <c r="K149" i="14" s="1"/>
  <c r="P179" i="10"/>
  <c r="K141" i="14" s="1"/>
  <c r="P142" i="10"/>
  <c r="K118" i="14" s="1"/>
  <c r="P100" i="10"/>
  <c r="P98" i="10"/>
  <c r="K77" i="14" s="1"/>
  <c r="P112" i="10"/>
  <c r="P73" i="10" l="1"/>
  <c r="K55" i="14" s="1"/>
  <c r="P45" i="10"/>
  <c r="P43" i="10"/>
  <c r="P25" i="10"/>
  <c r="L25" i="10"/>
  <c r="L12" i="10" s="1"/>
  <c r="P21" i="10"/>
  <c r="P20" i="10"/>
  <c r="P22" i="10"/>
  <c r="P26" i="10"/>
  <c r="P17" i="10"/>
  <c r="P40" i="10" l="1"/>
  <c r="K36" i="14" s="1"/>
  <c r="P12" i="10"/>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4" i="14" l="1"/>
  <c r="K120" i="10"/>
  <c r="K119" i="10" l="1"/>
  <c r="D202" i="11" l="1"/>
  <c r="C202" i="11"/>
  <c r="B202" i="11"/>
  <c r="D201" i="11"/>
  <c r="C201" i="11"/>
  <c r="B201" i="11"/>
  <c r="S200" i="11"/>
  <c r="R200" i="11"/>
  <c r="Q200" i="11"/>
  <c r="D200" i="11"/>
  <c r="C200" i="11"/>
  <c r="B200" i="11"/>
  <c r="D199" i="11"/>
  <c r="C199" i="11"/>
  <c r="B199" i="11"/>
  <c r="S198" i="11"/>
  <c r="R198" i="11"/>
  <c r="Q198" i="11"/>
  <c r="D198" i="11"/>
  <c r="C198" i="11"/>
  <c r="B198" i="11"/>
  <c r="D197" i="11"/>
  <c r="C197" i="11"/>
  <c r="B197" i="11"/>
  <c r="E152" i="14"/>
  <c r="D152" i="14"/>
  <c r="E151" i="14"/>
  <c r="D151" i="14"/>
  <c r="E150" i="14"/>
  <c r="D150" i="14"/>
  <c r="D196" i="11"/>
  <c r="C196" i="11"/>
  <c r="B196" i="11"/>
  <c r="D195" i="11"/>
  <c r="B195" i="11"/>
  <c r="D194" i="11"/>
  <c r="B194" i="11"/>
  <c r="D193" i="11"/>
  <c r="C193" i="11"/>
  <c r="B193" i="11"/>
  <c r="D192" i="11"/>
  <c r="C192" i="11"/>
  <c r="B192" i="11"/>
  <c r="D191" i="11"/>
  <c r="C191" i="11"/>
  <c r="B191" i="11"/>
  <c r="D190" i="11"/>
  <c r="C190" i="11"/>
  <c r="B190" i="11"/>
  <c r="D189" i="11"/>
  <c r="C189" i="11"/>
  <c r="B189" i="11"/>
  <c r="F146" i="14"/>
  <c r="E146" i="14"/>
  <c r="D146" i="14"/>
  <c r="D188" i="11"/>
  <c r="C188" i="11"/>
  <c r="B188" i="11"/>
  <c r="D187" i="11"/>
  <c r="B187" i="11"/>
  <c r="D186" i="11"/>
  <c r="B186" i="11"/>
  <c r="D185" i="11"/>
  <c r="C185" i="11"/>
  <c r="B185" i="11"/>
  <c r="D184" i="11"/>
  <c r="C184" i="11"/>
  <c r="B184" i="11"/>
  <c r="D183" i="11"/>
  <c r="C183" i="11"/>
  <c r="B183" i="11"/>
  <c r="D182" i="11"/>
  <c r="C182" i="11"/>
  <c r="B182" i="11"/>
  <c r="D181" i="11"/>
  <c r="C181" i="11"/>
  <c r="B181" i="11"/>
  <c r="E142" i="14"/>
  <c r="D142" i="14"/>
  <c r="D180" i="11"/>
  <c r="C180" i="11"/>
  <c r="B180" i="11"/>
  <c r="D179" i="11"/>
  <c r="B179" i="11"/>
  <c r="D178" i="11"/>
  <c r="C178" i="11"/>
  <c r="B178" i="11"/>
  <c r="D177" i="11"/>
  <c r="C177" i="11"/>
  <c r="B177" i="11"/>
  <c r="D176" i="11"/>
  <c r="C176" i="11"/>
  <c r="B176" i="11"/>
  <c r="F140" i="14"/>
  <c r="E140" i="14"/>
  <c r="D140" i="14"/>
  <c r="F139" i="14"/>
  <c r="E139" i="14"/>
  <c r="D139" i="14"/>
  <c r="F138" i="14"/>
  <c r="E138" i="14"/>
  <c r="D138" i="14"/>
  <c r="D175" i="11"/>
  <c r="C175" i="11"/>
  <c r="B175" i="11"/>
  <c r="D174" i="11"/>
  <c r="B174" i="11"/>
  <c r="D173" i="11"/>
  <c r="B173" i="11"/>
  <c r="D172" i="11"/>
  <c r="C172" i="11"/>
  <c r="B172" i="11"/>
  <c r="D171" i="11"/>
  <c r="C171" i="11"/>
  <c r="B171" i="11"/>
  <c r="D170" i="11"/>
  <c r="C170" i="11"/>
  <c r="B170" i="11"/>
  <c r="D169" i="11"/>
  <c r="C169" i="11"/>
  <c r="B169" i="11"/>
  <c r="D168" i="11"/>
  <c r="C168" i="11"/>
  <c r="B168" i="11"/>
  <c r="D167" i="11"/>
  <c r="C167" i="11"/>
  <c r="B167" i="11"/>
  <c r="F134" i="14"/>
  <c r="E134" i="14"/>
  <c r="D134" i="14"/>
  <c r="E133" i="14"/>
  <c r="D133" i="14"/>
  <c r="D166" i="11"/>
  <c r="C166" i="11"/>
  <c r="B166" i="11"/>
  <c r="D165" i="11"/>
  <c r="B165" i="11"/>
  <c r="D164" i="11"/>
  <c r="B164" i="11"/>
  <c r="D163" i="11"/>
  <c r="C163" i="11"/>
  <c r="B163" i="11"/>
  <c r="D162" i="11"/>
  <c r="C162" i="11"/>
  <c r="B162" i="11"/>
  <c r="D161" i="11"/>
  <c r="C161" i="11"/>
  <c r="B161" i="11"/>
  <c r="D160" i="11"/>
  <c r="C160" i="11"/>
  <c r="B160" i="11"/>
  <c r="D159" i="11"/>
  <c r="C159" i="11"/>
  <c r="B159" i="11"/>
  <c r="F129" i="14"/>
  <c r="D158" i="11"/>
  <c r="C158" i="11"/>
  <c r="B158" i="11"/>
  <c r="D157" i="11"/>
  <c r="B157" i="11"/>
  <c r="D155" i="11"/>
  <c r="C155" i="11"/>
  <c r="B155" i="11"/>
  <c r="D154" i="11"/>
  <c r="C154" i="11"/>
  <c r="B154" i="11"/>
  <c r="D153" i="11"/>
  <c r="C153" i="11"/>
  <c r="B153" i="11"/>
  <c r="D152" i="11"/>
  <c r="C152" i="11"/>
  <c r="B152" i="11"/>
  <c r="D151" i="11"/>
  <c r="C151" i="11"/>
  <c r="B151" i="11"/>
  <c r="D150" i="11"/>
  <c r="C150" i="11"/>
  <c r="B150" i="11"/>
  <c r="D149" i="11"/>
  <c r="C149" i="11"/>
  <c r="B149" i="11"/>
  <c r="D148" i="11"/>
  <c r="C148" i="11"/>
  <c r="B148" i="11"/>
  <c r="D147" i="11"/>
  <c r="B147" i="11"/>
  <c r="D146" i="11"/>
  <c r="B146" i="11"/>
  <c r="D145" i="11"/>
  <c r="B145" i="11"/>
  <c r="D144" i="11"/>
  <c r="C144" i="11"/>
  <c r="B144" i="11"/>
  <c r="D143" i="11"/>
  <c r="C143" i="11"/>
  <c r="B143" i="11"/>
  <c r="D142" i="11"/>
  <c r="B142" i="11"/>
  <c r="D141" i="11"/>
  <c r="B141" i="11"/>
  <c r="D140" i="11"/>
  <c r="C140" i="11"/>
  <c r="B140" i="11"/>
  <c r="D139" i="11"/>
  <c r="C139" i="11"/>
  <c r="B139" i="11"/>
  <c r="D138" i="11"/>
  <c r="C138" i="11"/>
  <c r="B138" i="11"/>
  <c r="D137" i="11"/>
  <c r="B137" i="11"/>
  <c r="F112" i="14"/>
  <c r="F111" i="14"/>
  <c r="F110" i="14"/>
  <c r="F109" i="14"/>
  <c r="D135" i="11"/>
  <c r="C135" i="11"/>
  <c r="B135" i="11"/>
  <c r="D133" i="11"/>
  <c r="B133" i="11"/>
  <c r="D132" i="11"/>
  <c r="B132" i="11"/>
  <c r="D131" i="11"/>
  <c r="B131" i="11"/>
  <c r="D130" i="11"/>
  <c r="B130" i="11"/>
  <c r="F101" i="14"/>
  <c r="D129" i="11"/>
  <c r="C129" i="11"/>
  <c r="B129" i="11"/>
  <c r="D128" i="11"/>
  <c r="B128" i="11"/>
  <c r="D127" i="11"/>
  <c r="B127" i="11"/>
  <c r="D126" i="11"/>
  <c r="B126" i="11"/>
  <c r="D125" i="11"/>
  <c r="B125" i="11"/>
  <c r="F93" i="14"/>
  <c r="D124" i="11"/>
  <c r="C124" i="11"/>
  <c r="B124" i="11"/>
  <c r="D123" i="11"/>
  <c r="B123" i="11"/>
  <c r="D122" i="11"/>
  <c r="B122" i="11"/>
  <c r="D121" i="11"/>
  <c r="B121" i="11"/>
  <c r="F86" i="14"/>
  <c r="F87" i="14"/>
  <c r="D118" i="11"/>
  <c r="C118" i="11"/>
  <c r="B118" i="11"/>
  <c r="D117" i="11"/>
  <c r="C117" i="11"/>
  <c r="B117" i="11"/>
  <c r="D116" i="11"/>
  <c r="C116" i="11"/>
  <c r="B116" i="11"/>
  <c r="D115" i="11"/>
  <c r="C115" i="11"/>
  <c r="B115" i="11"/>
  <c r="D114" i="11"/>
  <c r="C114" i="11"/>
  <c r="B114" i="11"/>
  <c r="D113" i="11"/>
  <c r="C113" i="11"/>
  <c r="B113" i="11"/>
  <c r="D112" i="11"/>
  <c r="C112" i="11"/>
  <c r="B112" i="11"/>
  <c r="D111" i="11"/>
  <c r="C111" i="11"/>
  <c r="B111" i="11"/>
  <c r="D110" i="11"/>
  <c r="C110" i="11"/>
  <c r="B110" i="11"/>
  <c r="D109" i="11"/>
  <c r="C109" i="11"/>
  <c r="B109" i="11"/>
  <c r="D108" i="11"/>
  <c r="B108" i="11"/>
  <c r="D107" i="11"/>
  <c r="C107" i="11"/>
  <c r="B107" i="11"/>
  <c r="D106" i="11"/>
  <c r="C106" i="11"/>
  <c r="B106" i="11"/>
  <c r="D105" i="11"/>
  <c r="C105" i="11"/>
  <c r="B105" i="11"/>
  <c r="D104" i="11"/>
  <c r="C104" i="11"/>
  <c r="B104" i="11"/>
  <c r="D103" i="11"/>
  <c r="C103" i="11"/>
  <c r="B103" i="11"/>
  <c r="F81" i="14"/>
  <c r="D102" i="11"/>
  <c r="C102" i="11"/>
  <c r="B102" i="11"/>
  <c r="D101" i="11"/>
  <c r="B101" i="11"/>
  <c r="F78" i="14"/>
  <c r="D100" i="11"/>
  <c r="C100" i="11"/>
  <c r="B100" i="11"/>
  <c r="F79" i="14"/>
  <c r="D99" i="11"/>
  <c r="C99" i="11"/>
  <c r="B99" i="11"/>
  <c r="D98" i="11"/>
  <c r="B98" i="11"/>
  <c r="F72" i="14"/>
  <c r="D87" i="11"/>
  <c r="C87" i="11"/>
  <c r="B87" i="11"/>
  <c r="D86" i="11"/>
  <c r="B86" i="11"/>
  <c r="D85" i="11"/>
  <c r="B85" i="11"/>
  <c r="D84" i="11"/>
  <c r="B84" i="11"/>
  <c r="D81" i="11"/>
  <c r="C81" i="11"/>
  <c r="B81" i="11"/>
  <c r="D80" i="11"/>
  <c r="B80" i="11"/>
  <c r="D79" i="11"/>
  <c r="B79" i="11"/>
  <c r="N78" i="11"/>
  <c r="M78" i="11"/>
  <c r="L78" i="11"/>
  <c r="I78" i="11"/>
  <c r="H78" i="11"/>
  <c r="G78" i="11"/>
  <c r="D78" i="11"/>
  <c r="C78" i="11"/>
  <c r="B78" i="11"/>
  <c r="N77" i="11"/>
  <c r="M77" i="11"/>
  <c r="L77" i="11"/>
  <c r="I77" i="11"/>
  <c r="H77" i="11"/>
  <c r="G77" i="11"/>
  <c r="D77" i="11"/>
  <c r="C77" i="11"/>
  <c r="B77" i="11"/>
  <c r="N76" i="11"/>
  <c r="M76" i="11"/>
  <c r="L76" i="11"/>
  <c r="I76" i="11"/>
  <c r="H76" i="11"/>
  <c r="G76" i="11"/>
  <c r="D76" i="11"/>
  <c r="C76" i="11"/>
  <c r="B76" i="11"/>
  <c r="N75" i="11"/>
  <c r="M75" i="11"/>
  <c r="L75" i="11"/>
  <c r="I75" i="11"/>
  <c r="H75" i="11"/>
  <c r="G75" i="11"/>
  <c r="D75" i="11"/>
  <c r="C75" i="11"/>
  <c r="B75" i="11"/>
  <c r="D74" i="11"/>
  <c r="B74" i="11"/>
  <c r="D73" i="11"/>
  <c r="B73" i="11"/>
  <c r="D72" i="11"/>
  <c r="B72" i="11"/>
  <c r="D71" i="11"/>
  <c r="B71" i="11"/>
  <c r="I70" i="11"/>
  <c r="F49" i="14" s="1"/>
  <c r="H70" i="11"/>
  <c r="G70" i="11"/>
  <c r="D68" i="11"/>
  <c r="B68" i="11"/>
  <c r="I67" i="11"/>
  <c r="H67" i="11"/>
  <c r="G67" i="11"/>
  <c r="D67" i="11"/>
  <c r="C67" i="11"/>
  <c r="B67" i="11"/>
  <c r="I66" i="11"/>
  <c r="H66" i="11"/>
  <c r="G66" i="11"/>
  <c r="D66" i="11"/>
  <c r="C66" i="11"/>
  <c r="B66" i="11"/>
  <c r="I65" i="11"/>
  <c r="F47" i="14" s="1"/>
  <c r="H65" i="11"/>
  <c r="G65" i="11"/>
  <c r="D65" i="11"/>
  <c r="C65" i="11"/>
  <c r="B65" i="11"/>
  <c r="I64" i="11"/>
  <c r="F46" i="14" s="1"/>
  <c r="H64" i="11"/>
  <c r="G64" i="11"/>
  <c r="D64" i="11"/>
  <c r="C64" i="11"/>
  <c r="B64" i="11"/>
  <c r="D62" i="11"/>
  <c r="B62" i="11"/>
  <c r="I59" i="11"/>
  <c r="H59" i="11"/>
  <c r="G59" i="11"/>
  <c r="D59" i="11"/>
  <c r="C59" i="11"/>
  <c r="B59" i="11"/>
  <c r="I58" i="11"/>
  <c r="H58" i="11"/>
  <c r="G58" i="11"/>
  <c r="D58" i="11"/>
  <c r="C58" i="11"/>
  <c r="B58" i="11"/>
  <c r="N57" i="11"/>
  <c r="M57" i="11"/>
  <c r="L57" i="11"/>
  <c r="I57" i="11"/>
  <c r="H57" i="11"/>
  <c r="G57" i="11"/>
  <c r="D57" i="11"/>
  <c r="C57" i="11"/>
  <c r="B57" i="11"/>
  <c r="D55" i="11"/>
  <c r="B55" i="11"/>
  <c r="D54" i="11"/>
  <c r="B54" i="11"/>
  <c r="I53" i="11"/>
  <c r="H53" i="11"/>
  <c r="G53" i="11"/>
  <c r="D53" i="11"/>
  <c r="C53" i="11"/>
  <c r="B53" i="11"/>
  <c r="I52" i="11"/>
  <c r="H52" i="11"/>
  <c r="G52" i="11"/>
  <c r="D52" i="11"/>
  <c r="C52" i="11"/>
  <c r="B52" i="11"/>
  <c r="I51" i="11"/>
  <c r="H51" i="11"/>
  <c r="G51" i="11"/>
  <c r="D51" i="11"/>
  <c r="C51" i="11"/>
  <c r="B51" i="11"/>
  <c r="I50" i="11"/>
  <c r="H50" i="11"/>
  <c r="G50" i="11"/>
  <c r="D50" i="11"/>
  <c r="C50" i="11"/>
  <c r="B50" i="11"/>
  <c r="N49" i="11"/>
  <c r="M49" i="11"/>
  <c r="L49" i="11"/>
  <c r="I49" i="11"/>
  <c r="H49" i="11"/>
  <c r="G49" i="11"/>
  <c r="D49" i="11"/>
  <c r="C49" i="11"/>
  <c r="B49" i="11"/>
  <c r="I48" i="11"/>
  <c r="H48" i="11"/>
  <c r="G48" i="11"/>
  <c r="D48" i="11"/>
  <c r="C48" i="11"/>
  <c r="B48" i="11"/>
  <c r="N47" i="11"/>
  <c r="M47" i="11"/>
  <c r="L47" i="11"/>
  <c r="I47" i="11"/>
  <c r="H47" i="11"/>
  <c r="G47" i="11"/>
  <c r="D47" i="11"/>
  <c r="C47" i="11"/>
  <c r="B47" i="11"/>
  <c r="N46" i="11"/>
  <c r="M46" i="11"/>
  <c r="L46" i="11"/>
  <c r="I46" i="11"/>
  <c r="H46" i="11"/>
  <c r="G46" i="11"/>
  <c r="D46" i="11"/>
  <c r="C46" i="11"/>
  <c r="B46" i="11"/>
  <c r="N45" i="11"/>
  <c r="M45" i="11"/>
  <c r="L45" i="11"/>
  <c r="I45" i="11"/>
  <c r="H45" i="11"/>
  <c r="G45" i="11"/>
  <c r="D45" i="11"/>
  <c r="C45" i="11"/>
  <c r="B45" i="11"/>
  <c r="N44" i="11"/>
  <c r="M44" i="11"/>
  <c r="L44" i="11"/>
  <c r="I44" i="11"/>
  <c r="H44" i="11"/>
  <c r="G44" i="11"/>
  <c r="D44" i="11"/>
  <c r="C44" i="11"/>
  <c r="B44" i="11"/>
  <c r="S43" i="11"/>
  <c r="R43" i="11"/>
  <c r="Q43" i="11"/>
  <c r="N43" i="11"/>
  <c r="M43" i="11"/>
  <c r="L43" i="11"/>
  <c r="I43" i="11"/>
  <c r="H43" i="11"/>
  <c r="G43" i="11"/>
  <c r="D43" i="11"/>
  <c r="C43" i="11"/>
  <c r="B43" i="11"/>
  <c r="I42" i="11"/>
  <c r="H42" i="11"/>
  <c r="G42" i="11"/>
  <c r="D42" i="11"/>
  <c r="C42" i="11"/>
  <c r="B42" i="11"/>
  <c r="I41" i="11"/>
  <c r="H41" i="11"/>
  <c r="G41" i="11"/>
  <c r="D41" i="11"/>
  <c r="C41" i="11"/>
  <c r="B41" i="11"/>
  <c r="D40" i="11"/>
  <c r="B40" i="11"/>
  <c r="D39" i="11"/>
  <c r="B39" i="11"/>
  <c r="D38" i="11"/>
  <c r="B38" i="11"/>
  <c r="D37" i="11"/>
  <c r="B37" i="11"/>
  <c r="D35" i="11"/>
  <c r="B35" i="11"/>
  <c r="D34" i="11"/>
  <c r="B34" i="11"/>
  <c r="N33" i="11"/>
  <c r="F24" i="14" s="1"/>
  <c r="M33" i="11"/>
  <c r="L33" i="11"/>
  <c r="I33" i="11"/>
  <c r="F23" i="14" s="1"/>
  <c r="H33" i="11"/>
  <c r="G33" i="11"/>
  <c r="D33" i="11"/>
  <c r="C33" i="11"/>
  <c r="B33" i="11"/>
  <c r="D32" i="11"/>
  <c r="B32" i="11"/>
  <c r="D31" i="11"/>
  <c r="B31" i="11"/>
  <c r="I30" i="11"/>
  <c r="H30" i="11"/>
  <c r="G30" i="11"/>
  <c r="D30" i="11"/>
  <c r="C30" i="11"/>
  <c r="B30" i="11"/>
  <c r="N29" i="11"/>
  <c r="F19" i="14" s="1"/>
  <c r="M29" i="11"/>
  <c r="L29" i="11"/>
  <c r="I29" i="11"/>
  <c r="H29" i="11"/>
  <c r="G29" i="11"/>
  <c r="D29" i="11"/>
  <c r="C29" i="11"/>
  <c r="B29" i="11"/>
  <c r="I28" i="11"/>
  <c r="H28" i="11"/>
  <c r="G28" i="11"/>
  <c r="D28" i="11"/>
  <c r="C28" i="11"/>
  <c r="B28" i="11"/>
  <c r="D27" i="11"/>
  <c r="B27"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I16" i="11"/>
  <c r="H16" i="11"/>
  <c r="G16" i="11"/>
  <c r="D16" i="11"/>
  <c r="C16" i="11"/>
  <c r="B16" i="11"/>
  <c r="H15" i="11"/>
  <c r="G15" i="11"/>
  <c r="D15" i="11"/>
  <c r="C15" i="11"/>
  <c r="B15" i="11"/>
  <c r="H14" i="11"/>
  <c r="G14" i="11"/>
  <c r="D14" i="11"/>
  <c r="C14" i="11"/>
  <c r="B14" i="11"/>
  <c r="N13" i="11"/>
  <c r="M13" i="11"/>
  <c r="L13" i="11"/>
  <c r="I13" i="11"/>
  <c r="H13" i="11"/>
  <c r="G13" i="11"/>
  <c r="D13" i="11"/>
  <c r="C13" i="11"/>
  <c r="B13" i="11"/>
  <c r="T213" i="10"/>
  <c r="R213" i="10"/>
  <c r="Q213" i="10"/>
  <c r="N213" i="10"/>
  <c r="M213" i="10"/>
  <c r="L213" i="10"/>
  <c r="K213" i="10"/>
  <c r="J213" i="10"/>
  <c r="I213" i="10"/>
  <c r="H213" i="10"/>
  <c r="V202" i="10"/>
  <c r="V201" i="10"/>
  <c r="J201" i="10"/>
  <c r="I201" i="10"/>
  <c r="H201" i="10"/>
  <c r="E201" i="10"/>
  <c r="D201" i="10"/>
  <c r="C201" i="10"/>
  <c r="B201" i="10"/>
  <c r="V200" i="10"/>
  <c r="J200" i="10"/>
  <c r="I200" i="10"/>
  <c r="H200" i="10"/>
  <c r="E200" i="10"/>
  <c r="D200" i="10"/>
  <c r="C200" i="10"/>
  <c r="B200" i="10"/>
  <c r="V199" i="10"/>
  <c r="J199" i="10"/>
  <c r="I199" i="10"/>
  <c r="H199" i="10"/>
  <c r="E199" i="10"/>
  <c r="D199" i="10"/>
  <c r="C199" i="10"/>
  <c r="B199" i="10"/>
  <c r="V198" i="10"/>
  <c r="J198" i="10"/>
  <c r="I198" i="10"/>
  <c r="H198" i="10"/>
  <c r="E198" i="10"/>
  <c r="D198" i="10"/>
  <c r="C198" i="10"/>
  <c r="B198" i="10"/>
  <c r="V197" i="10"/>
  <c r="J197" i="10"/>
  <c r="I197" i="10"/>
  <c r="H197" i="10"/>
  <c r="E197" i="10"/>
  <c r="D197" i="10"/>
  <c r="C197" i="10"/>
  <c r="B197" i="10"/>
  <c r="V196" i="10"/>
  <c r="J196" i="10"/>
  <c r="J195" i="10" s="1"/>
  <c r="I196" i="10"/>
  <c r="I195" i="10" s="1"/>
  <c r="H196" i="10"/>
  <c r="H195" i="10" s="1"/>
  <c r="H149" i="14" s="1"/>
  <c r="E196" i="10"/>
  <c r="D196" i="10"/>
  <c r="C196" i="10"/>
  <c r="B196" i="10"/>
  <c r="D195" i="10"/>
  <c r="C149" i="14" s="1"/>
  <c r="B195" i="10"/>
  <c r="B149" i="14" s="1"/>
  <c r="D194" i="10"/>
  <c r="C147" i="14" s="1"/>
  <c r="B194" i="10"/>
  <c r="B147" i="14" s="1"/>
  <c r="V193" i="10"/>
  <c r="J193" i="10"/>
  <c r="I193" i="10"/>
  <c r="H193" i="10"/>
  <c r="E193" i="10"/>
  <c r="D193" i="10"/>
  <c r="C193" i="10"/>
  <c r="B193" i="10"/>
  <c r="V192" i="10"/>
  <c r="J192" i="10"/>
  <c r="I192" i="10"/>
  <c r="H192" i="10"/>
  <c r="E192" i="10"/>
  <c r="D192" i="10"/>
  <c r="C192" i="10"/>
  <c r="B192" i="10"/>
  <c r="V191" i="10"/>
  <c r="J191" i="10"/>
  <c r="I191" i="10"/>
  <c r="H191" i="10"/>
  <c r="E191" i="10"/>
  <c r="D191" i="10"/>
  <c r="C191" i="10"/>
  <c r="B191" i="10"/>
  <c r="V190" i="10"/>
  <c r="J190" i="10"/>
  <c r="I190" i="10"/>
  <c r="H190" i="10"/>
  <c r="E190" i="10"/>
  <c r="D190" i="10"/>
  <c r="C190" i="10"/>
  <c r="B190" i="10"/>
  <c r="J189" i="10"/>
  <c r="I189" i="10"/>
  <c r="H189" i="10"/>
  <c r="E189" i="10"/>
  <c r="D189" i="10"/>
  <c r="C189" i="10"/>
  <c r="B189" i="10"/>
  <c r="V188" i="10"/>
  <c r="J188" i="10"/>
  <c r="I188" i="10"/>
  <c r="H188" i="10"/>
  <c r="E188" i="10"/>
  <c r="D188" i="10"/>
  <c r="C188" i="10"/>
  <c r="B188" i="10"/>
  <c r="D187" i="10"/>
  <c r="C145" i="14" s="1"/>
  <c r="B187" i="10"/>
  <c r="B145" i="14" s="1"/>
  <c r="D186" i="10"/>
  <c r="C143" i="14" s="1"/>
  <c r="B186" i="10"/>
  <c r="B143" i="14" s="1"/>
  <c r="V185" i="10"/>
  <c r="J185" i="10"/>
  <c r="I185" i="10"/>
  <c r="H185" i="10"/>
  <c r="E185" i="10"/>
  <c r="D185" i="10"/>
  <c r="C185" i="10"/>
  <c r="B185" i="10"/>
  <c r="V184" i="10"/>
  <c r="J184" i="10"/>
  <c r="I184" i="10"/>
  <c r="H184" i="10"/>
  <c r="E184" i="10"/>
  <c r="D184" i="10"/>
  <c r="C184" i="10"/>
  <c r="B184" i="10"/>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I179" i="10" s="1"/>
  <c r="H180" i="10"/>
  <c r="H179" i="10" s="1"/>
  <c r="H141" i="14" s="1"/>
  <c r="E180" i="10"/>
  <c r="D180" i="10"/>
  <c r="C180" i="10"/>
  <c r="D179" i="10"/>
  <c r="C141" i="14" s="1"/>
  <c r="B179" i="10"/>
  <c r="B141" i="14" s="1"/>
  <c r="V178" i="10"/>
  <c r="J178" i="10"/>
  <c r="I178" i="10"/>
  <c r="H178" i="10"/>
  <c r="E178" i="10"/>
  <c r="D178" i="10"/>
  <c r="C178" i="10"/>
  <c r="B178" i="10"/>
  <c r="V177" i="10"/>
  <c r="J177" i="10"/>
  <c r="I177" i="10"/>
  <c r="H177" i="10"/>
  <c r="E177" i="10"/>
  <c r="D177" i="10"/>
  <c r="C177" i="10"/>
  <c r="B177" i="10"/>
  <c r="V176" i="10"/>
  <c r="J176" i="10"/>
  <c r="I176" i="10"/>
  <c r="H176" i="10"/>
  <c r="E176" i="10"/>
  <c r="D176" i="10"/>
  <c r="C176" i="10"/>
  <c r="B176" i="10"/>
  <c r="V175" i="10"/>
  <c r="J175" i="10"/>
  <c r="J174" i="10" s="1"/>
  <c r="I175" i="10"/>
  <c r="I174" i="10" s="1"/>
  <c r="H175" i="10"/>
  <c r="E175" i="10"/>
  <c r="D175" i="10"/>
  <c r="C175" i="10"/>
  <c r="B175" i="10"/>
  <c r="D174" i="10"/>
  <c r="C137" i="14" s="1"/>
  <c r="B174" i="10"/>
  <c r="B137" i="14" s="1"/>
  <c r="D173" i="10"/>
  <c r="C135" i="14" s="1"/>
  <c r="B173" i="10"/>
  <c r="B135" i="14" s="1"/>
  <c r="V172" i="10"/>
  <c r="J172" i="10"/>
  <c r="I172" i="10"/>
  <c r="H172" i="10"/>
  <c r="E172" i="10"/>
  <c r="D172" i="10"/>
  <c r="C172" i="10"/>
  <c r="B172" i="10"/>
  <c r="V171" i="10"/>
  <c r="J171" i="10"/>
  <c r="I171" i="10"/>
  <c r="H171" i="10"/>
  <c r="E171" i="10"/>
  <c r="D171" i="10"/>
  <c r="C171" i="10"/>
  <c r="B171" i="10"/>
  <c r="V170" i="10"/>
  <c r="J170" i="10"/>
  <c r="I170" i="10"/>
  <c r="H170" i="10"/>
  <c r="E170" i="10"/>
  <c r="D170" i="10"/>
  <c r="C170" i="10"/>
  <c r="B170" i="10"/>
  <c r="V169" i="10"/>
  <c r="J169" i="10"/>
  <c r="I169" i="10"/>
  <c r="H169" i="10"/>
  <c r="E169" i="10"/>
  <c r="D169" i="10"/>
  <c r="C169" i="10"/>
  <c r="B169" i="10"/>
  <c r="V168" i="10"/>
  <c r="J168" i="10"/>
  <c r="I168" i="10"/>
  <c r="H168" i="10"/>
  <c r="E168" i="10"/>
  <c r="D168" i="10"/>
  <c r="C168" i="10"/>
  <c r="B168" i="10"/>
  <c r="V167" i="10"/>
  <c r="J167" i="10"/>
  <c r="I167" i="10"/>
  <c r="H167" i="10"/>
  <c r="E167" i="10"/>
  <c r="D167" i="10"/>
  <c r="C167" i="10"/>
  <c r="B167" i="10"/>
  <c r="V166" i="10"/>
  <c r="J166" i="10"/>
  <c r="J165" i="10" s="1"/>
  <c r="I166" i="10"/>
  <c r="I165" i="10" s="1"/>
  <c r="H166" i="10"/>
  <c r="E166" i="10"/>
  <c r="D166" i="10"/>
  <c r="C166" i="10"/>
  <c r="B166" i="10"/>
  <c r="D165" i="10"/>
  <c r="C132" i="14" s="1"/>
  <c r="B165" i="10"/>
  <c r="B132" i="14" s="1"/>
  <c r="D164" i="10"/>
  <c r="B164" i="10"/>
  <c r="O163" i="10"/>
  <c r="V163" i="10" s="1"/>
  <c r="J163" i="10"/>
  <c r="I163" i="10"/>
  <c r="H163" i="10"/>
  <c r="E163" i="10"/>
  <c r="D163" i="10"/>
  <c r="C163" i="10"/>
  <c r="B163" i="10"/>
  <c r="V162" i="10"/>
  <c r="J162" i="10"/>
  <c r="I162" i="10"/>
  <c r="H162" i="10"/>
  <c r="E162" i="10"/>
  <c r="D162" i="10"/>
  <c r="C162" i="10"/>
  <c r="B162" i="10"/>
  <c r="V161" i="10"/>
  <c r="J161" i="10"/>
  <c r="I161" i="10"/>
  <c r="H161" i="10"/>
  <c r="E161" i="10"/>
  <c r="D161" i="10"/>
  <c r="C161" i="10"/>
  <c r="B161" i="10"/>
  <c r="O160" i="10"/>
  <c r="J160" i="10"/>
  <c r="I160" i="10"/>
  <c r="H160" i="10"/>
  <c r="E160" i="10"/>
  <c r="D160" i="10"/>
  <c r="C160" i="10"/>
  <c r="B160" i="10"/>
  <c r="V159" i="10"/>
  <c r="J159" i="10"/>
  <c r="I159" i="10"/>
  <c r="H159" i="10"/>
  <c r="E159" i="10"/>
  <c r="D159" i="10"/>
  <c r="C159" i="10"/>
  <c r="B159" i="10"/>
  <c r="V158" i="10"/>
  <c r="J158" i="10"/>
  <c r="J157" i="10" s="1"/>
  <c r="I158" i="10"/>
  <c r="I157" i="10" s="1"/>
  <c r="H158" i="10"/>
  <c r="H157" i="10" s="1"/>
  <c r="H128" i="14" s="1"/>
  <c r="E158" i="10"/>
  <c r="D158" i="10"/>
  <c r="C158" i="10"/>
  <c r="B158" i="10"/>
  <c r="D157" i="10"/>
  <c r="B157" i="10"/>
  <c r="O155" i="10"/>
  <c r="V155" i="10" s="1"/>
  <c r="J155" i="10"/>
  <c r="I155" i="10"/>
  <c r="H155" i="10"/>
  <c r="E155" i="10"/>
  <c r="D155" i="10"/>
  <c r="C155" i="10"/>
  <c r="B155" i="10"/>
  <c r="O154" i="10"/>
  <c r="V154" i="10" s="1"/>
  <c r="J154" i="10"/>
  <c r="I154" i="10"/>
  <c r="H154" i="10"/>
  <c r="E154" i="10"/>
  <c r="D154" i="10"/>
  <c r="C154" i="10"/>
  <c r="B154" i="10"/>
  <c r="O153" i="10"/>
  <c r="V153" i="10" s="1"/>
  <c r="J153" i="10"/>
  <c r="I153" i="10"/>
  <c r="H153" i="10"/>
  <c r="E153" i="10"/>
  <c r="D153" i="10"/>
  <c r="C153" i="10"/>
  <c r="B153" i="10"/>
  <c r="V152" i="10"/>
  <c r="J152" i="10"/>
  <c r="I152" i="10"/>
  <c r="H152" i="10"/>
  <c r="E152" i="10"/>
  <c r="D152" i="10"/>
  <c r="C152" i="10"/>
  <c r="B152" i="10"/>
  <c r="V151" i="10"/>
  <c r="J151" i="10"/>
  <c r="I151" i="10"/>
  <c r="H151" i="10"/>
  <c r="E151" i="10"/>
  <c r="D151" i="10"/>
  <c r="C151" i="10"/>
  <c r="B151" i="10"/>
  <c r="O150" i="10"/>
  <c r="V150" i="10" s="1"/>
  <c r="J150" i="10"/>
  <c r="I150" i="10"/>
  <c r="E150" i="10"/>
  <c r="D150" i="10"/>
  <c r="C150" i="10"/>
  <c r="B150" i="10"/>
  <c r="O147" i="10"/>
  <c r="J149" i="10"/>
  <c r="I149" i="10"/>
  <c r="E149" i="10"/>
  <c r="D149" i="10"/>
  <c r="C149" i="10"/>
  <c r="B149" i="10"/>
  <c r="V148" i="10"/>
  <c r="J148" i="10"/>
  <c r="I148" i="10"/>
  <c r="H148" i="10"/>
  <c r="E148" i="10"/>
  <c r="D148" i="10"/>
  <c r="C148" i="10"/>
  <c r="B148" i="10"/>
  <c r="D147" i="10"/>
  <c r="B147" i="10"/>
  <c r="D146" i="10"/>
  <c r="B146" i="10"/>
  <c r="D145" i="10"/>
  <c r="B145" i="10"/>
  <c r="V144" i="10"/>
  <c r="J144" i="10"/>
  <c r="I144" i="10"/>
  <c r="H144" i="10"/>
  <c r="E144" i="10"/>
  <c r="D144" i="10"/>
  <c r="C144" i="10"/>
  <c r="B144" i="10"/>
  <c r="V143" i="10"/>
  <c r="J143" i="10"/>
  <c r="J142" i="10" s="1"/>
  <c r="I143" i="10"/>
  <c r="I142" i="10" s="1"/>
  <c r="H143" i="10"/>
  <c r="H142" i="10" s="1"/>
  <c r="H118" i="14" s="1"/>
  <c r="E143" i="10"/>
  <c r="D143" i="10"/>
  <c r="C143" i="10"/>
  <c r="B143" i="10"/>
  <c r="D142" i="10"/>
  <c r="B142" i="10"/>
  <c r="D141" i="10"/>
  <c r="B141" i="10"/>
  <c r="V140" i="10"/>
  <c r="J140" i="10"/>
  <c r="I140" i="10"/>
  <c r="H140" i="10"/>
  <c r="E140" i="10"/>
  <c r="D140" i="10"/>
  <c r="C140" i="10"/>
  <c r="B140" i="10"/>
  <c r="V139" i="10"/>
  <c r="J139" i="10"/>
  <c r="I139" i="10"/>
  <c r="H139" i="10"/>
  <c r="E139" i="10"/>
  <c r="D139" i="10"/>
  <c r="C139" i="10"/>
  <c r="B139" i="10"/>
  <c r="V138" i="10"/>
  <c r="J138" i="10"/>
  <c r="I138" i="10"/>
  <c r="I137" i="10" s="1"/>
  <c r="H138" i="10"/>
  <c r="H137" i="10" s="1"/>
  <c r="H113" i="14" s="1"/>
  <c r="E138" i="10"/>
  <c r="D138" i="10"/>
  <c r="C138" i="10"/>
  <c r="B138" i="10"/>
  <c r="D137" i="10"/>
  <c r="B137" i="10"/>
  <c r="D133" i="10"/>
  <c r="B133" i="10"/>
  <c r="D132" i="10"/>
  <c r="B132" i="10"/>
  <c r="D131" i="10"/>
  <c r="B131" i="10"/>
  <c r="D130" i="10"/>
  <c r="B130" i="10"/>
  <c r="J129" i="10"/>
  <c r="J128" i="10" s="1"/>
  <c r="I129" i="10"/>
  <c r="I128" i="10" s="1"/>
  <c r="I100" i="14" s="1"/>
  <c r="H129" i="10"/>
  <c r="H128" i="10" s="1"/>
  <c r="H100" i="14" s="1"/>
  <c r="E129" i="10"/>
  <c r="D129" i="10"/>
  <c r="C129" i="10"/>
  <c r="B129" i="10"/>
  <c r="D128" i="10"/>
  <c r="B128" i="10"/>
  <c r="D127" i="10"/>
  <c r="B127" i="10"/>
  <c r="D126" i="10"/>
  <c r="B126" i="10"/>
  <c r="D125" i="10"/>
  <c r="B125" i="10"/>
  <c r="J124" i="10"/>
  <c r="J123" i="10" s="1"/>
  <c r="I124" i="10"/>
  <c r="I123" i="10" s="1"/>
  <c r="I92" i="14" s="1"/>
  <c r="H124" i="10"/>
  <c r="H123" i="10" s="1"/>
  <c r="H92" i="14" s="1"/>
  <c r="E124" i="10"/>
  <c r="D124" i="10"/>
  <c r="C124" i="10"/>
  <c r="B124" i="10"/>
  <c r="D123" i="10"/>
  <c r="B123" i="10"/>
  <c r="D122" i="10"/>
  <c r="B122" i="10"/>
  <c r="D121" i="10"/>
  <c r="B121" i="10"/>
  <c r="V118" i="10"/>
  <c r="J118" i="10"/>
  <c r="I118" i="10"/>
  <c r="H118" i="10"/>
  <c r="E118" i="10"/>
  <c r="D118" i="10"/>
  <c r="C118" i="10"/>
  <c r="B118" i="10"/>
  <c r="V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V113" i="10"/>
  <c r="J113" i="10"/>
  <c r="I113" i="10"/>
  <c r="H113" i="10"/>
  <c r="E113" i="10"/>
  <c r="D113" i="10"/>
  <c r="C113" i="10"/>
  <c r="B113" i="10"/>
  <c r="V112" i="10"/>
  <c r="J112" i="10"/>
  <c r="I112" i="10"/>
  <c r="H112" i="10"/>
  <c r="E112" i="10"/>
  <c r="D112" i="10"/>
  <c r="C112" i="10"/>
  <c r="B112" i="10"/>
  <c r="V111" i="10"/>
  <c r="J111" i="10"/>
  <c r="I111" i="10"/>
  <c r="H111" i="10"/>
  <c r="E111" i="10"/>
  <c r="D111" i="10"/>
  <c r="C111" i="10"/>
  <c r="B111" i="10"/>
  <c r="V110" i="10"/>
  <c r="E110" i="10"/>
  <c r="D110" i="10"/>
  <c r="C110" i="10"/>
  <c r="B110" i="10"/>
  <c r="V109" i="10"/>
  <c r="J109" i="10"/>
  <c r="I109" i="10"/>
  <c r="H109" i="10"/>
  <c r="E109" i="10"/>
  <c r="D109" i="10"/>
  <c r="C109" i="10"/>
  <c r="B109" i="10"/>
  <c r="D108" i="10"/>
  <c r="B108" i="10"/>
  <c r="X107" i="10"/>
  <c r="J107" i="10"/>
  <c r="I107" i="10"/>
  <c r="H107" i="10"/>
  <c r="E107" i="10"/>
  <c r="D107" i="10"/>
  <c r="C107" i="10"/>
  <c r="B107" i="10"/>
  <c r="O106" i="10"/>
  <c r="O101" i="10" s="1"/>
  <c r="J106" i="10"/>
  <c r="I106" i="10"/>
  <c r="H106" i="10"/>
  <c r="E106" i="10"/>
  <c r="D106" i="10"/>
  <c r="C106" i="10"/>
  <c r="B106" i="10"/>
  <c r="X105" i="10"/>
  <c r="J105" i="10"/>
  <c r="I105" i="10"/>
  <c r="H105" i="10"/>
  <c r="E105" i="10"/>
  <c r="D105" i="10"/>
  <c r="C105" i="10"/>
  <c r="B105" i="10"/>
  <c r="X104" i="10"/>
  <c r="J104" i="10"/>
  <c r="I104" i="10"/>
  <c r="H104" i="10"/>
  <c r="E104" i="10"/>
  <c r="D104" i="10"/>
  <c r="C104" i="10"/>
  <c r="B104" i="10"/>
  <c r="X103" i="10"/>
  <c r="J103" i="10"/>
  <c r="I103" i="10"/>
  <c r="H103" i="10"/>
  <c r="H101" i="10" s="1"/>
  <c r="H80" i="14" s="1"/>
  <c r="E103" i="10"/>
  <c r="D103" i="10"/>
  <c r="C103" i="10"/>
  <c r="B103" i="10"/>
  <c r="X102" i="10"/>
  <c r="J101" i="10"/>
  <c r="E102" i="10"/>
  <c r="D102" i="10"/>
  <c r="C102" i="10"/>
  <c r="B102" i="10"/>
  <c r="D101" i="10"/>
  <c r="B101" i="10"/>
  <c r="X100" i="10"/>
  <c r="J100" i="10"/>
  <c r="I100" i="10"/>
  <c r="H100" i="10"/>
  <c r="E100" i="10"/>
  <c r="D100" i="10"/>
  <c r="C100" i="10"/>
  <c r="B100" i="10"/>
  <c r="O99" i="10"/>
  <c r="O98" i="10" s="1"/>
  <c r="J99" i="10"/>
  <c r="J98" i="10" s="1"/>
  <c r="I99" i="10"/>
  <c r="I98" i="10" s="1"/>
  <c r="I77" i="14" s="1"/>
  <c r="H99" i="10"/>
  <c r="E99" i="10"/>
  <c r="D99" i="10"/>
  <c r="C99" i="10"/>
  <c r="B99" i="10"/>
  <c r="D98" i="10"/>
  <c r="B98" i="10"/>
  <c r="X97" i="10"/>
  <c r="J97" i="10"/>
  <c r="I97" i="10"/>
  <c r="H97" i="10"/>
  <c r="E97" i="10"/>
  <c r="D97" i="10"/>
  <c r="C97" i="10"/>
  <c r="B97" i="10"/>
  <c r="X96" i="10"/>
  <c r="J96" i="10"/>
  <c r="I96" i="10"/>
  <c r="H96" i="10"/>
  <c r="E96" i="10"/>
  <c r="D96" i="10"/>
  <c r="C96" i="10"/>
  <c r="B96" i="10"/>
  <c r="X95" i="10"/>
  <c r="J95" i="10"/>
  <c r="I95" i="10"/>
  <c r="H95" i="10"/>
  <c r="E95" i="10"/>
  <c r="D95" i="10"/>
  <c r="C95" i="10"/>
  <c r="B95" i="10"/>
  <c r="X94" i="10"/>
  <c r="J94" i="10"/>
  <c r="I94" i="10"/>
  <c r="H94" i="10"/>
  <c r="E94" i="10"/>
  <c r="D94" i="10"/>
  <c r="C94" i="10"/>
  <c r="B94" i="10"/>
  <c r="X93" i="10"/>
  <c r="J93" i="10"/>
  <c r="I93" i="10"/>
  <c r="H93" i="10"/>
  <c r="E93" i="10"/>
  <c r="D93" i="10"/>
  <c r="C93" i="10"/>
  <c r="B93" i="10"/>
  <c r="O92" i="10"/>
  <c r="X92" i="10" s="1"/>
  <c r="J92" i="10"/>
  <c r="I92" i="10"/>
  <c r="H92" i="10"/>
  <c r="E92" i="10"/>
  <c r="D92" i="10"/>
  <c r="C92" i="10"/>
  <c r="B92" i="10"/>
  <c r="O91" i="10"/>
  <c r="X91" i="10" s="1"/>
  <c r="J91" i="10"/>
  <c r="I91" i="10"/>
  <c r="H91" i="10"/>
  <c r="E91" i="10"/>
  <c r="D91" i="10"/>
  <c r="C91" i="10"/>
  <c r="B91" i="10"/>
  <c r="O90" i="10"/>
  <c r="X90" i="10" s="1"/>
  <c r="J90" i="10"/>
  <c r="I90" i="10"/>
  <c r="H90" i="10"/>
  <c r="E90" i="10"/>
  <c r="D90" i="10"/>
  <c r="C90" i="10"/>
  <c r="B90" i="10"/>
  <c r="O89" i="10"/>
  <c r="J89" i="10"/>
  <c r="I89" i="10"/>
  <c r="H89" i="10"/>
  <c r="E89" i="10"/>
  <c r="D89" i="10"/>
  <c r="C89" i="10"/>
  <c r="B89" i="10"/>
  <c r="O88" i="10"/>
  <c r="O86" i="10" s="1"/>
  <c r="J88" i="10"/>
  <c r="I88" i="10"/>
  <c r="H88" i="10"/>
  <c r="E88" i="10"/>
  <c r="D88" i="10"/>
  <c r="C88" i="10"/>
  <c r="B88" i="10"/>
  <c r="J87" i="10"/>
  <c r="I87" i="10"/>
  <c r="H87" i="10"/>
  <c r="E87" i="10"/>
  <c r="D87" i="10"/>
  <c r="C87" i="10"/>
  <c r="B87" i="10"/>
  <c r="D86" i="10"/>
  <c r="B86" i="10"/>
  <c r="D85" i="10"/>
  <c r="B85" i="10"/>
  <c r="D84" i="10"/>
  <c r="B84" i="10"/>
  <c r="D79" i="10"/>
  <c r="B79" i="10"/>
  <c r="D78" i="10"/>
  <c r="B78" i="10"/>
  <c r="J77" i="10"/>
  <c r="I77" i="10"/>
  <c r="H77" i="10"/>
  <c r="E77" i="10"/>
  <c r="D77" i="10"/>
  <c r="C77" i="10"/>
  <c r="B77" i="10"/>
  <c r="J76" i="10"/>
  <c r="I76" i="10"/>
  <c r="H76" i="10"/>
  <c r="E76" i="10"/>
  <c r="D76" i="10"/>
  <c r="C76" i="10"/>
  <c r="B76" i="10"/>
  <c r="J75" i="10"/>
  <c r="I75" i="10"/>
  <c r="H75" i="10"/>
  <c r="E75" i="10"/>
  <c r="D75" i="10"/>
  <c r="C75" i="10"/>
  <c r="B75" i="10"/>
  <c r="J74" i="10"/>
  <c r="I74" i="10"/>
  <c r="H74" i="10"/>
  <c r="E74" i="10"/>
  <c r="D74" i="10"/>
  <c r="C74" i="10"/>
  <c r="B74" i="10"/>
  <c r="D73" i="10"/>
  <c r="B73" i="10"/>
  <c r="D72" i="10"/>
  <c r="B72" i="10"/>
  <c r="D71" i="10"/>
  <c r="B71" i="10"/>
  <c r="D70" i="10"/>
  <c r="B70" i="10"/>
  <c r="D68" i="10"/>
  <c r="B68" i="10"/>
  <c r="J67" i="10"/>
  <c r="I67" i="10"/>
  <c r="H67" i="10"/>
  <c r="E67" i="10"/>
  <c r="D67" i="10"/>
  <c r="C67" i="10"/>
  <c r="B67" i="10"/>
  <c r="J66" i="10"/>
  <c r="I66" i="10"/>
  <c r="H66" i="10"/>
  <c r="E66" i="10"/>
  <c r="D66" i="10"/>
  <c r="C66" i="10"/>
  <c r="B66" i="10"/>
  <c r="J65" i="10"/>
  <c r="I65" i="10"/>
  <c r="H65" i="10"/>
  <c r="E65" i="10"/>
  <c r="D65" i="10"/>
  <c r="C65" i="10"/>
  <c r="B65" i="10"/>
  <c r="J64" i="10"/>
  <c r="I64" i="10"/>
  <c r="H64" i="10"/>
  <c r="E64" i="10"/>
  <c r="D64" i="10"/>
  <c r="C64" i="10"/>
  <c r="B64" i="10"/>
  <c r="K63" i="10"/>
  <c r="J63" i="10"/>
  <c r="I63" i="10"/>
  <c r="H63" i="10"/>
  <c r="E63" i="10"/>
  <c r="D63" i="10"/>
  <c r="C63" i="10"/>
  <c r="B63" i="10"/>
  <c r="D62" i="10"/>
  <c r="B62" i="10"/>
  <c r="V59" i="10"/>
  <c r="J59" i="10"/>
  <c r="I59" i="10"/>
  <c r="H59" i="10"/>
  <c r="E59" i="10"/>
  <c r="D59" i="10"/>
  <c r="C59" i="10"/>
  <c r="B59" i="10"/>
  <c r="V58" i="10"/>
  <c r="J58" i="10"/>
  <c r="I58" i="10"/>
  <c r="H58" i="10"/>
  <c r="E58" i="10"/>
  <c r="D58" i="10"/>
  <c r="C58" i="10"/>
  <c r="B58" i="10"/>
  <c r="O57" i="10"/>
  <c r="J57" i="10"/>
  <c r="J55" i="10" s="1"/>
  <c r="I57" i="10"/>
  <c r="I55" i="10" s="1"/>
  <c r="H57" i="10"/>
  <c r="H55" i="10" s="1"/>
  <c r="H42" i="14" s="1"/>
  <c r="E57" i="10"/>
  <c r="D57" i="10"/>
  <c r="C57" i="10"/>
  <c r="B57" i="10"/>
  <c r="V56" i="10"/>
  <c r="I42" i="14"/>
  <c r="D55" i="10"/>
  <c r="B55" i="10"/>
  <c r="D54" i="10"/>
  <c r="B54" i="10"/>
  <c r="Z53" i="10"/>
  <c r="J53" i="10"/>
  <c r="I53" i="10"/>
  <c r="H53" i="10"/>
  <c r="E53" i="10"/>
  <c r="D53" i="10"/>
  <c r="C53" i="10"/>
  <c r="B53" i="10"/>
  <c r="Z52" i="10"/>
  <c r="E52" i="10"/>
  <c r="D52" i="10"/>
  <c r="C52" i="10"/>
  <c r="B52" i="10"/>
  <c r="Z51" i="10"/>
  <c r="J51" i="10"/>
  <c r="I51" i="10"/>
  <c r="H51" i="10"/>
  <c r="E51" i="10"/>
  <c r="D51" i="10"/>
  <c r="C51" i="10"/>
  <c r="B51" i="10"/>
  <c r="Z50" i="10"/>
  <c r="J50" i="10"/>
  <c r="I50" i="10"/>
  <c r="H50" i="10"/>
  <c r="E50" i="10"/>
  <c r="D50" i="10"/>
  <c r="C50" i="10"/>
  <c r="B50" i="10"/>
  <c r="Z49" i="10"/>
  <c r="J49" i="10"/>
  <c r="I49" i="10"/>
  <c r="H49" i="10"/>
  <c r="E49" i="10"/>
  <c r="D49" i="10"/>
  <c r="C49" i="10"/>
  <c r="B49" i="10"/>
  <c r="Z48" i="10"/>
  <c r="J48" i="10"/>
  <c r="I48" i="10"/>
  <c r="H48" i="10"/>
  <c r="E48" i="10"/>
  <c r="D48" i="10"/>
  <c r="C48" i="10"/>
  <c r="B48" i="10"/>
  <c r="J47" i="10"/>
  <c r="I47" i="10"/>
  <c r="H47" i="10"/>
  <c r="E47" i="10"/>
  <c r="D47" i="10"/>
  <c r="C47" i="10"/>
  <c r="B47" i="10"/>
  <c r="O46" i="10"/>
  <c r="Z46" i="10" s="1"/>
  <c r="J46" i="10"/>
  <c r="I46" i="10"/>
  <c r="H46" i="10"/>
  <c r="E46" i="10"/>
  <c r="D46" i="10"/>
  <c r="C46" i="10"/>
  <c r="B46" i="10"/>
  <c r="O45" i="10"/>
  <c r="E45" i="10"/>
  <c r="D45" i="10"/>
  <c r="C45" i="10"/>
  <c r="B45" i="10"/>
  <c r="O44" i="10"/>
  <c r="J44" i="10"/>
  <c r="I44" i="10"/>
  <c r="H44" i="10"/>
  <c r="E44" i="10"/>
  <c r="D44" i="10"/>
  <c r="C44" i="10"/>
  <c r="B44" i="10"/>
  <c r="E43" i="10"/>
  <c r="D43" i="10"/>
  <c r="C43" i="10"/>
  <c r="B43" i="10"/>
  <c r="J42" i="10"/>
  <c r="I42" i="10"/>
  <c r="H42" i="10"/>
  <c r="E42" i="10"/>
  <c r="D42" i="10"/>
  <c r="C42" i="10"/>
  <c r="B42" i="10"/>
  <c r="J41" i="10"/>
  <c r="I41" i="10"/>
  <c r="H41" i="10"/>
  <c r="E41" i="10"/>
  <c r="D41" i="10"/>
  <c r="C41" i="10"/>
  <c r="B41" i="10"/>
  <c r="D40" i="10"/>
  <c r="B40" i="10"/>
  <c r="D39" i="10"/>
  <c r="B39" i="10"/>
  <c r="D38" i="10"/>
  <c r="B38" i="10"/>
  <c r="D37" i="10"/>
  <c r="B37" i="10"/>
  <c r="D35" i="10"/>
  <c r="B35" i="10"/>
  <c r="D34" i="10"/>
  <c r="B34" i="10"/>
  <c r="J33" i="10"/>
  <c r="J32" i="10" s="1"/>
  <c r="I33" i="10"/>
  <c r="I32" i="10" s="1"/>
  <c r="H33" i="10"/>
  <c r="H32" i="10" s="1"/>
  <c r="H22" i="14" s="1"/>
  <c r="E33" i="10"/>
  <c r="D33" i="10"/>
  <c r="C33" i="10"/>
  <c r="B33" i="10"/>
  <c r="D32" i="10"/>
  <c r="B32" i="10"/>
  <c r="D31" i="10"/>
  <c r="B31" i="10"/>
  <c r="J30" i="10"/>
  <c r="I30" i="10"/>
  <c r="H30" i="10"/>
  <c r="E30" i="10"/>
  <c r="D30" i="10"/>
  <c r="C30" i="10"/>
  <c r="B30" i="10"/>
  <c r="J29" i="10"/>
  <c r="I29" i="10"/>
  <c r="H29" i="10"/>
  <c r="E29" i="10"/>
  <c r="D29" i="10"/>
  <c r="C29" i="10"/>
  <c r="B29" i="10"/>
  <c r="J28" i="10"/>
  <c r="I28" i="10"/>
  <c r="H28" i="10"/>
  <c r="E28" i="10"/>
  <c r="D28" i="10"/>
  <c r="C28" i="10"/>
  <c r="B28" i="10"/>
  <c r="D27" i="10"/>
  <c r="B27"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I20" i="10"/>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F16" i="14" l="1"/>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87" i="10"/>
  <c r="I118" i="14"/>
  <c r="J187" i="10"/>
  <c r="F15" i="14"/>
  <c r="F39" i="14"/>
  <c r="F142" i="14"/>
  <c r="I128" i="14"/>
  <c r="I132" i="14"/>
  <c r="I137" i="14"/>
  <c r="I149" i="14"/>
  <c r="F44" i="14"/>
  <c r="V149" i="10"/>
  <c r="J147" i="10"/>
  <c r="J137" i="10"/>
  <c r="I113" i="14" s="1"/>
  <c r="I147" i="10"/>
  <c r="I125" i="14" s="1"/>
  <c r="H108" i="10"/>
  <c r="H82" i="14" s="1"/>
  <c r="H187" i="10"/>
  <c r="H145" i="14" s="1"/>
  <c r="H12" i="10"/>
  <c r="J12" i="10"/>
  <c r="I12" i="10"/>
  <c r="H174" i="10"/>
  <c r="H137" i="14" s="1"/>
  <c r="H165" i="10"/>
  <c r="H132" i="14" s="1"/>
  <c r="I108" i="10"/>
  <c r="I82" i="14" s="1"/>
  <c r="H40" i="10"/>
  <c r="H36" i="14" s="1"/>
  <c r="J108" i="10"/>
  <c r="H27" i="10"/>
  <c r="H17" i="14" s="1"/>
  <c r="H62" i="10"/>
  <c r="H45" i="14" s="1"/>
  <c r="J86" i="10"/>
  <c r="I86" i="10"/>
  <c r="I69" i="14" s="1"/>
  <c r="V57" i="10"/>
  <c r="I62" i="10"/>
  <c r="I45" i="14" s="1"/>
  <c r="J27" i="10"/>
  <c r="J40" i="10"/>
  <c r="J62" i="10"/>
  <c r="I73" i="10"/>
  <c r="I55" i="14" s="1"/>
  <c r="H86" i="10"/>
  <c r="H69" i="14" s="1"/>
  <c r="X106" i="10"/>
  <c r="V189" i="10"/>
  <c r="O187" i="10"/>
  <c r="V160" i="10"/>
  <c r="O157" i="10"/>
  <c r="I27" i="10"/>
  <c r="I17" i="14" s="1"/>
  <c r="I40" i="10"/>
  <c r="I36" i="14" s="1"/>
  <c r="H73" i="10"/>
  <c r="H55" i="14" s="1"/>
  <c r="J179" i="10"/>
  <c r="I141" i="14" s="1"/>
  <c r="O40" i="10"/>
  <c r="J73" i="10"/>
  <c r="H98" i="10"/>
  <c r="H77" i="14" s="1"/>
  <c r="X99" i="10"/>
  <c r="I101" i="10"/>
  <c r="I80" i="14" s="1"/>
  <c r="J11" i="10" l="1"/>
  <c r="I11" i="10"/>
  <c r="I145" i="14"/>
  <c r="O213" i="10"/>
  <c r="H14" i="14"/>
  <c r="I14" i="14"/>
  <c r="J209" i="3"/>
  <c r="M209" i="3"/>
  <c r="P209" i="3"/>
  <c r="S209" i="3"/>
  <c r="V209" i="3"/>
  <c r="G209" i="3"/>
  <c r="Q212" i="2"/>
  <c r="R212" i="2"/>
  <c r="P212" i="2"/>
  <c r="K29" i="10" l="1"/>
  <c r="K30" i="10"/>
  <c r="K42" i="10"/>
  <c r="K44" i="10"/>
  <c r="K46" i="10"/>
  <c r="K47" i="10"/>
  <c r="K48" i="10"/>
  <c r="K49" i="10"/>
  <c r="K50" i="10"/>
  <c r="K51" i="10"/>
  <c r="K53" i="10"/>
  <c r="K57" i="10"/>
  <c r="K58" i="10"/>
  <c r="K59" i="10"/>
  <c r="K65" i="10"/>
  <c r="K66" i="10"/>
  <c r="K67" i="10"/>
  <c r="K75" i="10"/>
  <c r="K76" i="10"/>
  <c r="K77" i="10"/>
  <c r="K88" i="10"/>
  <c r="K89" i="10"/>
  <c r="K90" i="10"/>
  <c r="K91" i="10"/>
  <c r="K92" i="10"/>
  <c r="K93" i="10"/>
  <c r="K94" i="10"/>
  <c r="K95" i="10"/>
  <c r="K96" i="10"/>
  <c r="K97" i="10"/>
  <c r="K100" i="10"/>
  <c r="K103" i="10"/>
  <c r="K104" i="10"/>
  <c r="K105" i="10"/>
  <c r="K106" i="10"/>
  <c r="K107" i="10"/>
  <c r="K111" i="10"/>
  <c r="K112" i="10"/>
  <c r="K113" i="10"/>
  <c r="K114" i="10"/>
  <c r="K116" i="10"/>
  <c r="K124" i="10"/>
  <c r="K123" i="10" s="1"/>
  <c r="J92" i="14" s="1"/>
  <c r="K129" i="10"/>
  <c r="K128" i="10" s="1"/>
  <c r="J100" i="14" s="1"/>
  <c r="K139" i="10"/>
  <c r="K140" i="10"/>
  <c r="K144" i="10"/>
  <c r="K149" i="10"/>
  <c r="H149" i="10" s="1"/>
  <c r="H147" i="10" s="1"/>
  <c r="H11" i="10" s="1"/>
  <c r="K150" i="10"/>
  <c r="K151" i="10"/>
  <c r="K152" i="10"/>
  <c r="K153" i="10"/>
  <c r="K154" i="10"/>
  <c r="K159" i="10"/>
  <c r="K160" i="10"/>
  <c r="K161" i="10"/>
  <c r="K162" i="10"/>
  <c r="K163" i="10"/>
  <c r="K166" i="10"/>
  <c r="K167" i="10"/>
  <c r="K168" i="10"/>
  <c r="K169" i="10"/>
  <c r="K170" i="10"/>
  <c r="K171" i="10"/>
  <c r="K172" i="10"/>
  <c r="K175" i="10"/>
  <c r="K176" i="10"/>
  <c r="K177" i="10"/>
  <c r="K178" i="10"/>
  <c r="K180" i="10"/>
  <c r="K181" i="10"/>
  <c r="K182" i="10"/>
  <c r="K183" i="10"/>
  <c r="K184" i="10"/>
  <c r="K185" i="10"/>
  <c r="K188" i="10"/>
  <c r="K189" i="10"/>
  <c r="K190" i="10"/>
  <c r="K191" i="10"/>
  <c r="K192" i="10"/>
  <c r="K193" i="10"/>
  <c r="K196" i="10"/>
  <c r="K197" i="10"/>
  <c r="K198" i="10"/>
  <c r="K199" i="10"/>
  <c r="K200" i="10"/>
  <c r="K201" i="10"/>
  <c r="K14" i="10"/>
  <c r="K15" i="10"/>
  <c r="K16" i="10"/>
  <c r="K17" i="10"/>
  <c r="K18" i="10"/>
  <c r="K19" i="10"/>
  <c r="K20" i="10"/>
  <c r="K21" i="10"/>
  <c r="K22" i="10"/>
  <c r="K23" i="10"/>
  <c r="K24" i="10"/>
  <c r="K25" i="10"/>
  <c r="K26" i="10"/>
  <c r="K55" i="10" l="1"/>
  <c r="H125" i="14"/>
  <c r="K155" i="10"/>
  <c r="K158" i="10"/>
  <c r="K157" i="10" s="1"/>
  <c r="J128" i="14" s="1"/>
  <c r="K138" i="10"/>
  <c r="K137" i="10" s="1"/>
  <c r="J113" i="14" s="1"/>
  <c r="K143" i="10"/>
  <c r="K142" i="10" s="1"/>
  <c r="J118" i="14" s="1"/>
  <c r="K135" i="10"/>
  <c r="K133" i="10" s="1"/>
  <c r="J108" i="14" s="1"/>
  <c r="K148" i="10"/>
  <c r="K195" i="10"/>
  <c r="J149" i="14" s="1"/>
  <c r="K174" i="10"/>
  <c r="J137" i="14" s="1"/>
  <c r="K187" i="10"/>
  <c r="J145" i="14" s="1"/>
  <c r="K165" i="10"/>
  <c r="J132" i="14" s="1"/>
  <c r="K179" i="10"/>
  <c r="J141" i="14" s="1"/>
  <c r="K109" i="10"/>
  <c r="K118" i="10"/>
  <c r="K101" i="10"/>
  <c r="J80" i="14" s="1"/>
  <c r="J42" i="14"/>
  <c r="K87" i="10"/>
  <c r="K86" i="10" s="1"/>
  <c r="J69" i="14" s="1"/>
  <c r="K41" i="10"/>
  <c r="K40" i="10" s="1"/>
  <c r="J36" i="14" s="1"/>
  <c r="K64" i="10"/>
  <c r="K62" i="10" s="1"/>
  <c r="J45" i="14" s="1"/>
  <c r="K99" i="10"/>
  <c r="K98" i="10" s="1"/>
  <c r="J77" i="14" s="1"/>
  <c r="K33" i="10"/>
  <c r="K32" i="10" s="1"/>
  <c r="J22" i="14" s="1"/>
  <c r="K28" i="10"/>
  <c r="K27" i="10" s="1"/>
  <c r="J17" i="14" s="1"/>
  <c r="K74" i="10"/>
  <c r="K73" i="10" s="1"/>
  <c r="J55" i="14" s="1"/>
  <c r="K147" i="10" l="1"/>
  <c r="J125" i="14" s="1"/>
  <c r="K108" i="10"/>
  <c r="J82" i="14" s="1"/>
  <c r="K13" i="10"/>
  <c r="K12" i="10" s="1"/>
  <c r="K11" i="10" l="1"/>
  <c r="J14" i="14"/>
  <c r="S212" i="2"/>
  <c r="P86" i="10"/>
  <c r="S86" i="10"/>
  <c r="K69" i="14" l="1"/>
  <c r="M69" i="14"/>
  <c r="P101" i="10"/>
  <c r="K80" i="14" s="1"/>
  <c r="S101" i="10"/>
  <c r="M80" i="14" s="1"/>
  <c r="P111" i="10"/>
  <c r="P108" i="10" s="1"/>
  <c r="K82" i="14" s="1"/>
  <c r="S137" i="10"/>
  <c r="M113" i="14" s="1"/>
  <c r="P138" i="10"/>
  <c r="P137" i="10" s="1"/>
  <c r="S213" i="10" l="1"/>
  <c r="K113" i="14"/>
  <c r="P213" i="10"/>
</calcChain>
</file>

<file path=xl/sharedStrings.xml><?xml version="1.0" encoding="utf-8"?>
<sst xmlns="http://schemas.openxmlformats.org/spreadsheetml/2006/main" count="4184" uniqueCount="1490">
  <si>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</si>
  <si>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</si>
  <si>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</si>
  <si>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</si>
  <si>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</si>
  <si>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</si>
  <si>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</si>
  <si>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</si>
  <si>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</si>
  <si>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</si>
  <si>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</si>
  <si>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</si>
  <si>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</si>
  <si>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</si>
  <si>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</si>
  <si>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</si>
  <si>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</si>
  <si>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</si>
  <si>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</si>
  <si>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</si>
  <si>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</si>
  <si>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</si>
  <si>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</si>
  <si>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</si>
  <si>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</si>
  <si>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</si>
  <si>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</si>
  <si>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</si>
  <si>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</si>
  <si>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</si>
  <si>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</si>
  <si>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</si>
  <si>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</si>
  <si>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</si>
  <si>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</si>
  <si>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</si>
  <si>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</si>
  <si>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</si>
  <si>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</si>
  <si>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</si>
  <si>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</si>
  <si>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</si>
  <si>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</si>
  <si>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</si>
  <si>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</si>
  <si>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</si>
  <si>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</si>
  <si>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</si>
  <si>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</si>
  <si>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</si>
  <si>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</si>
  <si>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</si>
  <si>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</si>
  <si>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</si>
  <si>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</si>
  <si>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</si>
  <si>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</si>
  <si>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</si>
  <si>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</si>
  <si>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</si>
  <si>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</si>
  <si>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</si>
  <si>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</si>
  <si>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</si>
  <si>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</si>
  <si>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</si>
  <si>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</si>
  <si>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</si>
  <si>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</si>
  <si>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</si>
  <si>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</si>
  <si>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</si>
  <si>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</si>
  <si>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</si>
  <si>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</si>
  <si>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</si>
  <si>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</si>
  <si>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</si>
  <si>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</si>
  <si>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</si>
  <si>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</si>
  <si>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</si>
  <si>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</si>
  <si>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</si>
  <si>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</si>
  <si>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</si>
  <si>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</si>
  <si>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</si>
  <si>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</si>
  <si>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</si>
  <si>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</si>
  <si>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</si>
  <si>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</si>
  <si>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</si>
  <si>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</si>
  <si>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</si>
  <si>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</si>
  <si>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</si>
  <si>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</si>
  <si>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</si>
  <si>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</si>
  <si>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</si>
  <si>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</si>
  <si>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</si>
  <si>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</si>
  <si>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</si>
  <si>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</si>
  <si>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</si>
  <si>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</si>
  <si>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</si>
  <si>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</si>
  <si>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</si>
  <si>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</si>
  <si>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</si>
  <si>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</si>
  <si>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</si>
  <si>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</si>
  <si>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</si>
  <si>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</si>
  <si>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</si>
  <si>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</si>
  <si>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</si>
  <si>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</si>
  <si>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</si>
  <si>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</si>
  <si>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</si>
  <si>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</si>
  <si>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</si>
  <si>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</si>
  <si>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</si>
  <si>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</si>
  <si>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</si>
  <si>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</si>
  <si>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</si>
  <si>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</si>
  <si>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</si>
  <si>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</si>
  <si>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</si>
  <si>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</si>
  <si>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</si>
  <si>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</si>
  <si>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</si>
  <si>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</si>
  <si>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</si>
  <si>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</si>
  <si>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</si>
  <si>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</si>
  <si>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</si>
  <si>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</si>
  <si>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</si>
  <si>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</si>
  <si>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</si>
  <si>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</si>
  <si>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</si>
  <si>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</si>
  <si>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</si>
  <si>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</si>
  <si>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</si>
  <si>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</si>
  <si>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</si>
  <si>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</si>
  <si>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</si>
  <si>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</si>
  <si>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</si>
  <si>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</si>
  <si>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</si>
  <si>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</si>
  <si>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</si>
  <si>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</si>
  <si>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</si>
  <si>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</si>
  <si>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</si>
  <si>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</si>
  <si>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</si>
  <si>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</si>
  <si>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</si>
  <si>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</si>
  <si>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</si>
  <si>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</si>
  <si>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</si>
  <si>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</si>
  <si>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</si>
  <si>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</si>
  <si>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</si>
  <si>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</si>
  <si>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</si>
  <si>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</si>
  <si>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</si>
  <si>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</si>
  <si>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</si>
  <si>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</si>
  <si>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</si>
  <si>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</si>
  <si>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</si>
  <si>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</si>
  <si>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</si>
  <si>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</si>
  <si>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</si>
  <si>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</si>
  <si>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</si>
  <si>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</si>
  <si>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</si>
  <si>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</si>
  <si>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</si>
  <si>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</si>
  <si>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</si>
  <si>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</si>
  <si>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</si>
  <si>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</si>
  <si>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</si>
  <si>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</si>
  <si>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</si>
  <si>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</si>
  <si>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</si>
  <si>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</si>
  <si>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</si>
  <si>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</si>
  <si>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</si>
  <si>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</si>
  <si>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</si>
  <si>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</si>
  <si>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1.2.1.1.11</t>
  </si>
  <si>
    <t>R095511-120000-1222</t>
  </si>
  <si>
    <t>Saugaus eismo priemonių diegimas Ignalinos rajono keliuose</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</si>
  <si>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</si>
  <si>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</si>
  <si>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</si>
  <si>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</si>
  <si>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</si>
  <si>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</si>
  <si>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</si>
  <si>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</si>
  <si>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</si>
  <si>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</si>
  <si>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</si>
  <si>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</si>
  <si>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</si>
  <si>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</si>
  <si>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</si>
  <si>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</si>
  <si>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</si>
  <si>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</si>
  <si>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</si>
  <si>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</si>
  <si>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</si>
  <si>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</si>
  <si>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</si>
  <si>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</si>
  <si>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</si>
  <si>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</si>
  <si>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</si>
  <si>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</si>
  <si>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</si>
  <si>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</si>
  <si>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</si>
  <si>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</si>
  <si>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</si>
  <si>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</si>
  <si>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</si>
  <si>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</si>
  <si>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</si>
  <si>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</si>
  <si>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</si>
  <si>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</si>
  <si>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</si>
  <si>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</si>
  <si>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</si>
  <si>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</si>
  <si>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</si>
  <si>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</si>
  <si>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</si>
  <si>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</si>
  <si>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</si>
  <si>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</si>
  <si>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</si>
  <si>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</si>
  <si>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</si>
  <si>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</si>
  <si>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</si>
  <si>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</si>
  <si>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</si>
  <si>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</si>
  <si>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</si>
  <si>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</si>
  <si>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</si>
  <si>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</si>
  <si>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</si>
  <si>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</si>
  <si>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Atgailos kanauninkų vienuolyno ansamblio (u.k. 987) vienuolyno namo (u.k. 25029) Videniškių km. kapitalinis remontas ir pritaikymas Videniškių vienuolyno amatų centro ir bendruomenės poreikiams poreikiams</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</si>
  <si>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</si>
  <si>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</si>
  <si>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</si>
  <si>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</si>
  <si>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</si>
  <si>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</si>
  <si>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</si>
  <si>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</si>
  <si>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</si>
  <si>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</si>
  <si>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</si>
  <si>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</si>
  <si>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</si>
  <si>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</si>
  <si>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</si>
  <si>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</si>
  <si>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</si>
  <si>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</si>
  <si>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</si>
  <si>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</si>
  <si>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</si>
  <si>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</si>
  <si>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</si>
  <si>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</si>
  <si>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</si>
  <si>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</si>
  <si>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</si>
  <si>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</si>
  <si>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</si>
  <si>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</si>
  <si>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</si>
  <si>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</si>
  <si>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</si>
  <si>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</si>
  <si>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</si>
  <si>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</si>
  <si>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</si>
  <si>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</si>
  <si>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</si>
  <si>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</si>
  <si>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</si>
  <si>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</si>
  <si>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</si>
  <si>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</si>
  <si>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</si>
  <si>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</si>
  <si>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</si>
  <si>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</si>
  <si>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</si>
  <si>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</si>
  <si>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</si>
  <si>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</si>
  <si>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</si>
  <si>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</si>
  <si>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</si>
  <si>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</si>
  <si>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</si>
  <si>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</si>
  <si>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</si>
  <si>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</si>
  <si>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</si>
  <si>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</si>
  <si>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</si>
  <si>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</si>
  <si>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</si>
  <si>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</si>
  <si>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</si>
  <si>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</si>
  <si>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</si>
  <si>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</si>
  <si>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</si>
  <si>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</si>
  <si>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</si>
  <si>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</si>
  <si>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</si>
  <si>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</si>
  <si>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</si>
  <si>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</si>
  <si>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</si>
  <si>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</si>
  <si>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</si>
  <si>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</si>
  <si>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</si>
  <si>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</si>
  <si>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</si>
  <si>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</si>
  <si>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</si>
  <si>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</si>
  <si>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</si>
  <si>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</si>
  <si>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</si>
  <si>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</si>
  <si>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</si>
  <si>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</si>
  <si>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</si>
  <si>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</si>
  <si>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</si>
  <si>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</si>
  <si>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</si>
  <si>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</si>
  <si>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</si>
  <si>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</si>
  <si>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</si>
  <si>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</si>
  <si>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</si>
  <si>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</si>
  <si>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</si>
  <si>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</si>
  <si>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</si>
  <si>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</si>
  <si>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</si>
  <si>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</si>
  <si>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</si>
  <si>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</si>
  <si>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</si>
  <si>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</si>
  <si>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</si>
  <si>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</si>
  <si>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</si>
  <si>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</si>
  <si>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</si>
  <si>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</si>
  <si>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</si>
  <si>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</si>
  <si>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</si>
  <si>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</si>
  <si>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</si>
  <si>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</si>
  <si>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</si>
  <si>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</si>
  <si>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</si>
  <si>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</si>
  <si>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</si>
  <si>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</si>
  <si>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</si>
  <si>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</si>
  <si>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</si>
  <si>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</si>
  <si>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</si>
  <si>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</si>
  <si>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</si>
  <si>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</si>
  <si>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</si>
  <si>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</si>
  <si>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</si>
  <si>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</si>
  <si>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</si>
  <si>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</si>
  <si>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</si>
  <si>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</si>
  <si>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</si>
  <si>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</si>
  <si>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</si>
  <si>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</si>
  <si>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</si>
  <si>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</si>
  <si>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</si>
  <si>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</si>
  <si>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</si>
  <si>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</si>
  <si>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</si>
  <si>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</si>
  <si>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</si>
  <si>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</si>
  <si>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</si>
  <si>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</si>
  <si>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</si>
  <si>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</si>
  <si>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</si>
  <si>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</si>
  <si>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</si>
  <si>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</si>
  <si>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</si>
  <si>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</si>
  <si>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</si>
  <si>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</si>
  <si>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</si>
  <si>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</si>
  <si>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</si>
  <si>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</si>
  <si>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</si>
  <si>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</si>
  <si>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</si>
  <si>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</si>
  <si>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</si>
  <si>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</si>
  <si>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</si>
  <si>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</si>
  <si>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</si>
  <si>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</si>
  <si>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</si>
  <si>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</si>
  <si>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</si>
  <si>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</si>
  <si>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</si>
  <si>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</si>
  <si>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</si>
  <si>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</si>
  <si>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</si>
  <si>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</si>
  <si>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</si>
  <si>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</si>
  <si>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</si>
  <si>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</si>
  <si>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</si>
  <si>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</si>
  <si>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</si>
  <si>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</si>
  <si>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</si>
  <si>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</si>
  <si>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</si>
  <si>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</si>
  <si>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</si>
  <si>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</si>
  <si>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</si>
  <si>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</si>
  <si>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</si>
  <si>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</si>
  <si>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</si>
  <si>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</si>
  <si>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</si>
  <si>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</si>
  <si>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</si>
  <si>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</si>
  <si>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</si>
  <si>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</si>
  <si>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</si>
  <si>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</si>
  <si>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</si>
  <si>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</si>
  <si>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</si>
  <si>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</si>
  <si>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</si>
  <si>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</si>
  <si>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</si>
  <si>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</si>
  <si>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</si>
  <si>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</si>
  <si>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</si>
  <si>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</si>
  <si>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</si>
  <si>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</si>
  <si>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</si>
  <si>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</si>
  <si>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</si>
  <si>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</si>
  <si>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</si>
  <si>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r>
      <t xml:space="preserve">Anykščių rajono savivaldybės </t>
    </r>
    <r>
      <rPr>
        <sz val="10"/>
        <rFont val="Times New Roman"/>
        <family val="1"/>
        <charset val="186"/>
      </rPr>
      <t>administracija</t>
    </r>
  </si>
  <si>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</si>
  <si>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</si>
  <si>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</si>
  <si>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</si>
  <si>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</si>
  <si>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</si>
  <si>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</si>
  <si>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</si>
  <si>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</si>
  <si>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</si>
  <si>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</si>
  <si>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</si>
  <si>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</si>
  <si>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</si>
  <si>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</si>
  <si>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</si>
  <si>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</si>
  <si>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</si>
  <si>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</si>
  <si>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</si>
  <si>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</si>
  <si>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</si>
  <si>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</si>
  <si>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</si>
  <si>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</si>
  <si>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</si>
  <si>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</si>
  <si>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</si>
  <si>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</si>
  <si>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</si>
  <si>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</si>
  <si>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</si>
  <si>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</si>
  <si>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</si>
  <si>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</si>
  <si>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</si>
  <si>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</si>
  <si>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</si>
  <si>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</si>
  <si>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</si>
  <si>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</si>
  <si>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</si>
  <si>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</si>
  <si>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</si>
  <si>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</si>
  <si>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</si>
  <si>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</si>
  <si>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</si>
  <si>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</si>
  <si>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</si>
  <si>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</si>
  <si>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</si>
  <si>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</si>
  <si>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</si>
  <si>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</si>
  <si>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</si>
  <si>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</si>
  <si>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</si>
  <si>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</si>
  <si>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</si>
  <si>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</si>
  <si>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</si>
  <si>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</si>
  <si>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</si>
  <si>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</si>
  <si>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</si>
  <si>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</si>
  <si>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</si>
  <si>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</si>
  <si>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</si>
  <si>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</si>
  <si>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</si>
  <si>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</si>
  <si>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</si>
  <si>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</si>
  <si>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</si>
  <si>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</si>
  <si>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</si>
  <si>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</si>
  <si>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</si>
  <si>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</si>
  <si>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</si>
  <si>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</si>
  <si>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</si>
  <si>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</si>
  <si>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</si>
  <si>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</si>
  <si>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</si>
  <si>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</si>
  <si>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</si>
  <si>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</si>
  <si>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</si>
  <si>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</si>
  <si>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</si>
  <si>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</si>
  <si>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</si>
  <si>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</si>
  <si>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</si>
  <si>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</si>
  <si>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</si>
  <si>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</si>
  <si>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</si>
  <si>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</si>
  <si>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</si>
  <si>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</si>
  <si>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</si>
  <si>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</si>
  <si>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</si>
  <si>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</si>
  <si>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</si>
  <si>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</si>
  <si>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</si>
  <si>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</si>
  <si>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</si>
  <si>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</si>
  <si>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</si>
  <si>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</si>
  <si>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</si>
  <si>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</si>
  <si>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</si>
  <si>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</si>
  <si>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</si>
  <si>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</si>
  <si>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</si>
  <si>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</si>
  <si>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</si>
  <si>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</si>
  <si>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</si>
  <si>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</si>
  <si>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</si>
  <si>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</si>
  <si>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</si>
  <si>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</si>
  <si>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</si>
  <si>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</si>
  <si>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</si>
  <si>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</si>
  <si>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</si>
  <si>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</si>
  <si>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</si>
  <si>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</si>
  <si>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</si>
  <si>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</si>
  <si>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</si>
  <si>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</si>
  <si>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</si>
  <si>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</si>
  <si>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</si>
  <si>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</si>
  <si>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</si>
  <si>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</si>
  <si>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</si>
  <si>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</si>
  <si>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</si>
  <si>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</si>
  <si>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</si>
  <si>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</si>
  <si>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</si>
  <si>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</si>
  <si>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</si>
  <si>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</si>
  <si>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</si>
  <si>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</si>
  <si>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</si>
  <si>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</si>
  <si>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</si>
  <si>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</si>
  <si>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</si>
  <si>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</si>
  <si>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</si>
  <si>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</si>
  <si>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</si>
  <si>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</si>
  <si>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</si>
  <si>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</si>
  <si>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</si>
  <si>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</si>
  <si>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</si>
  <si>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</si>
  <si>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</si>
  <si>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</si>
  <si>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</si>
  <si>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</si>
  <si>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</si>
  <si>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</si>
  <si>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</si>
  <si>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</si>
  <si>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</si>
  <si>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</si>
  <si>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</si>
  <si>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</si>
  <si>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</si>
  <si>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</si>
  <si>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</si>
  <si>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</si>
  <si>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</si>
  <si>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</si>
  <si>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</si>
  <si>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</si>
  <si>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</si>
  <si>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</si>
  <si>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</si>
  <si>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</si>
  <si>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</si>
  <si>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</si>
  <si>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</si>
  <si>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</si>
  <si>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</si>
  <si>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</si>
  <si>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</si>
  <si>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</si>
  <si>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</si>
  <si>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</si>
  <si>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</si>
  <si>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</si>
  <si>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</si>
  <si>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</si>
  <si>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</si>
  <si>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</si>
  <si>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</si>
  <si>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</si>
  <si>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</si>
  <si>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</si>
  <si>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</si>
  <si>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</si>
  <si>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</si>
  <si>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</si>
  <si>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</si>
  <si>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</si>
  <si>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</si>
  <si>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</si>
  <si>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</si>
  <si>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</si>
  <si>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</si>
  <si>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</si>
  <si>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</si>
  <si>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</si>
  <si>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</si>
  <si>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</si>
  <si>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</si>
  <si>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</si>
  <si>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</si>
  <si>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</si>
  <si>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</si>
  <si>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</si>
  <si>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</si>
  <si>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</si>
  <si>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</si>
  <si>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</si>
  <si>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</si>
  <si>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</si>
  <si>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</si>
  <si>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</si>
  <si>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</si>
  <si>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</si>
  <si>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</si>
  <si>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</si>
  <si>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</si>
  <si>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</si>
  <si>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</si>
  <si>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</si>
  <si>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</si>
  <si>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</si>
  <si>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</si>
  <si>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</si>
  <si>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</si>
  <si>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</si>
  <si>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</si>
  <si>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</si>
  <si>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</si>
  <si>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</si>
  <si>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</si>
  <si>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</si>
  <si>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,,Kraštovaizdžio planavimas, tvarkymas ir būklės gerinimas Molėtų rajone" metu suplanuota likviduoti 21 apleistą ir aplinką žalojantį vizualinės taršos objektą. Molėtų rajone tokie objektai: kiaulidės, veršidės,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bei Mažuliuose. Projekto metu ne tik bus likviduoti statiniai, bet ir sutvarkytos teritorijos, išlyginant žemes, kuriose šie statiniai bus nugriauti, bet taip pat bus atliktas Molėtų miesto bendrojo plano keitimas, kuris yra būtinas kompleksiškai spręsti urbanistinius uždavinius.</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</si>
  <si>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</si>
  <si>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</si>
  <si>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</si>
  <si>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</si>
  <si>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</si>
  <si>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</si>
  <si>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</si>
  <si>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</si>
  <si>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</si>
  <si>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</si>
  <si>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</si>
  <si>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</si>
  <si>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</si>
  <si>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</si>
  <si>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</si>
  <si>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</si>
  <si>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</si>
  <si>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</si>
  <si>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</si>
  <si>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</si>
  <si>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</si>
  <si>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</si>
  <si>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</si>
  <si>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</si>
  <si>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</si>
  <si>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</si>
  <si>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</si>
  <si>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</si>
  <si>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</si>
  <si>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</si>
  <si>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</si>
  <si>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</si>
  <si>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</si>
  <si>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</si>
  <si>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</si>
  <si>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</si>
  <si>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</si>
  <si>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</si>
  <si>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</si>
  <si>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</si>
  <si>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</si>
  <si>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</si>
  <si>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</si>
  <si>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</si>
  <si>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</si>
  <si>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</si>
  <si>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</si>
  <si>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</si>
  <si>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</si>
  <si>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</si>
  <si>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</si>
  <si>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</si>
  <si>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</si>
  <si>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</si>
  <si>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</si>
  <si>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</si>
  <si>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</si>
  <si>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</si>
  <si>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</si>
  <si>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</si>
  <si>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</si>
  <si>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</si>
  <si>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</si>
  <si>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</si>
  <si>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</si>
  <si>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</si>
  <si>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</si>
  <si>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</si>
  <si>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</si>
  <si>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</si>
  <si>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</si>
  <si>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</si>
  <si>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</si>
  <si>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Baigtas 2018-11-29</t>
  </si>
  <si>
    <t>KT lesos</t>
  </si>
  <si>
    <t>Baigtas 2017-12-28</t>
  </si>
  <si>
    <t>Baigtas 2018-01-09</t>
  </si>
  <si>
    <t>PL</t>
  </si>
  <si>
    <t>Baigtas 2019-01-04</t>
  </si>
  <si>
    <t>Baigtas 2018-07-26</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</si>
  <si>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</si>
  <si>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</si>
  <si>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</si>
  <si>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</si>
  <si>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</si>
  <si>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</si>
  <si>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</si>
  <si>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</si>
  <si>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</si>
  <si>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</si>
  <si>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</si>
  <si>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</si>
  <si>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</si>
  <si>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</si>
  <si>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</si>
  <si>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</si>
  <si>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</si>
  <si>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</si>
  <si>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</si>
  <si>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</si>
  <si>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</si>
  <si>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</si>
  <si>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</si>
  <si>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</si>
  <si>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</si>
  <si>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</si>
  <si>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</si>
  <si>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</si>
  <si>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</si>
  <si>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</si>
  <si>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</si>
  <si>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</si>
  <si>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</si>
  <si>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</si>
  <si>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</si>
  <si>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</si>
  <si>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</si>
  <si>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</si>
  <si>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</si>
  <si>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</si>
  <si>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</si>
  <si>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</si>
  <si>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</si>
  <si>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</si>
  <si>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</si>
  <si>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</si>
  <si>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</si>
  <si>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</si>
  <si>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</si>
  <si>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</si>
  <si>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</si>
  <si>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</si>
  <si>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</si>
  <si>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</si>
  <si>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</si>
  <si>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</si>
  <si>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</si>
  <si>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</si>
  <si>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</si>
  <si>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</si>
  <si>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</si>
  <si>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</si>
  <si>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</si>
  <si>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</si>
  <si>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</si>
  <si>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</si>
  <si>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</si>
  <si>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</si>
  <si>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</si>
  <si>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</si>
  <si>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</si>
  <si>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</si>
  <si>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</si>
  <si>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</si>
  <si>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</si>
  <si>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</si>
  <si>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</si>
  <si>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</si>
  <si>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</si>
  <si>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</si>
  <si>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</si>
  <si>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</si>
  <si>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</si>
  <si>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</si>
  <si>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</si>
  <si>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</si>
  <si>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</si>
  <si>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</si>
  <si>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</si>
  <si>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</si>
  <si>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</si>
  <si>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</si>
  <si>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</si>
  <si>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</si>
  <si>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</si>
  <si>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</si>
  <si>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</si>
  <si>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</si>
  <si>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</si>
  <si>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</si>
  <si>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</si>
  <si>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</si>
  <si>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</si>
  <si>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</si>
  <si>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</si>
  <si>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</si>
  <si>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</si>
  <si>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</si>
  <si>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</si>
  <si>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</si>
  <si>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</si>
  <si>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</si>
  <si>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</si>
  <si>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</si>
  <si>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</si>
  <si>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</si>
  <si>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</si>
  <si>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</si>
  <si>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</si>
  <si>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</si>
  <si>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</si>
  <si>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</si>
  <si>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</si>
  <si>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</si>
  <si>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</si>
  <si>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</si>
  <si>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</si>
  <si>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</si>
  <si>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</si>
  <si>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</si>
  <si>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</si>
  <si>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</si>
  <si>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</si>
  <si>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</si>
  <si>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</si>
  <si>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</si>
  <si>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</si>
  <si>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</si>
  <si>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</si>
  <si>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</si>
  <si>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</si>
  <si>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</si>
  <si>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</si>
  <si>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</si>
  <si>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</si>
  <si>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</si>
  <si>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</si>
  <si>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</si>
  <si>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</si>
  <si>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</si>
  <si>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</si>
  <si>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</si>
  <si>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</si>
  <si>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</si>
  <si>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</si>
  <si>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</si>
  <si>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</si>
  <si>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</si>
  <si>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</si>
  <si>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</si>
  <si>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</si>
  <si>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</si>
  <si>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</si>
  <si>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</si>
  <si>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</si>
  <si>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</si>
  <si>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</si>
  <si>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</si>
  <si>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</si>
  <si>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</si>
  <si>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</si>
  <si>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</si>
  <si>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</si>
  <si>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</si>
  <si>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</si>
  <si>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</si>
  <si>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</si>
  <si>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</si>
  <si>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</si>
  <si>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</si>
  <si>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</si>
  <si>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</si>
  <si>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</si>
  <si>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</si>
  <si>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</si>
  <si>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</si>
  <si>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</si>
  <si>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</si>
  <si>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</si>
  <si>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</si>
  <si>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</si>
  <si>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</si>
  <si>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</si>
  <si>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</si>
  <si>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</si>
  <si>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</si>
  <si>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</si>
  <si>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</si>
  <si>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</si>
  <si>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</si>
  <si>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</si>
  <si>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</si>
  <si>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</si>
  <si>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</si>
  <si>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</si>
  <si>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</si>
  <si>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</si>
  <si>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</si>
  <si>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</si>
  <si>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</si>
  <si>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</si>
  <si>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</si>
  <si>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</si>
  <si>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</si>
  <si>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</si>
  <si>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</si>
  <si>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</si>
  <si>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</si>
  <si>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</si>
  <si>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</si>
  <si>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</si>
  <si>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</si>
  <si>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</si>
  <si>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</si>
  <si>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</si>
  <si>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</si>
  <si>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</si>
  <si>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</si>
  <si>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</si>
  <si>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</si>
  <si>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</si>
  <si>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</si>
  <si>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</si>
  <si>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</si>
  <si>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</si>
  <si>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</si>
  <si>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</si>
  <si>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</si>
  <si>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</si>
  <si>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</si>
  <si>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</si>
  <si>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</si>
  <si>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</si>
  <si>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</si>
  <si>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</si>
  <si>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</si>
  <si>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</si>
  <si>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</si>
  <si>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</si>
  <si>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</si>
  <si>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</si>
  <si>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</si>
  <si>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</si>
  <si>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</si>
  <si>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</si>
  <si>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</si>
  <si>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</si>
  <si>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</si>
  <si>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</si>
  <si>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</si>
  <si>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</si>
  <si>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</si>
  <si>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</si>
  <si>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</si>
  <si>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</si>
  <si>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</si>
  <si>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</si>
  <si>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</si>
  <si>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</si>
  <si>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</si>
  <si>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</si>
  <si>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</si>
  <si>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</si>
  <si>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</si>
  <si>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</si>
  <si>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</si>
  <si>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</si>
  <si>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</si>
  <si>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</si>
  <si>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</si>
  <si>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</si>
  <si>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</si>
  <si>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</si>
  <si>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</si>
  <si>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</si>
  <si>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</si>
  <si>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</si>
  <si>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</si>
  <si>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</si>
  <si>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</si>
  <si>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</si>
  <si>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</si>
  <si>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</si>
  <si>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</si>
  <si>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</si>
  <si>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2019-06-08</t>
  </si>
  <si>
    <t>Baigtas 2019-06-14</t>
  </si>
  <si>
    <t>08.1.3-CPVA-R-609-91-0005 Parai6kos vertinimas</t>
  </si>
  <si>
    <t>3.2.5.1.8</t>
  </si>
  <si>
    <t>R099920-490000-3236</t>
  </si>
  <si>
    <t>Paslaugų ir asmenų aptarnavimo kokybės gerinimas Utenos rajono seniūnijose</t>
  </si>
  <si>
    <t>Baiktas 2019-08-11</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</si>
  <si>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</si>
  <si>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</si>
  <si>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</si>
  <si>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</si>
  <si>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</si>
  <si>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</si>
  <si>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</si>
  <si>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</si>
  <si>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</si>
  <si>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</si>
  <si>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</si>
  <si>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</si>
  <si>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</si>
  <si>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</si>
  <si>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</si>
  <si>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</si>
  <si>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</si>
  <si>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</si>
  <si>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</si>
  <si>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</si>
  <si>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</si>
  <si>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</si>
  <si>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</si>
  <si>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</si>
  <si>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</si>
  <si>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</si>
  <si>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</si>
  <si>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</si>
  <si>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</si>
  <si>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</si>
  <si>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</si>
  <si>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</si>
  <si>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</si>
  <si>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</si>
  <si>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</si>
  <si>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</si>
  <si>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04.5.1-TID-R-516-91-0004</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</si>
  <si>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</si>
  <si>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</si>
  <si>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</si>
  <si>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</si>
  <si>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</si>
  <si>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</si>
  <si>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</si>
  <si>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</si>
  <si>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</si>
  <si>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</si>
  <si>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</si>
  <si>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</si>
  <si>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</si>
  <si>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</si>
  <si>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</si>
  <si>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</si>
  <si>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</si>
  <si>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</si>
  <si>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</si>
  <si>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</si>
  <si>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</si>
  <si>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</si>
  <si>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</si>
  <si>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</si>
  <si>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</si>
  <si>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</si>
  <si>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</si>
  <si>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</si>
  <si>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</si>
  <si>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</si>
  <si>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</si>
  <si>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</si>
  <si>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</si>
  <si>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</si>
  <si>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</si>
  <si>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</si>
  <si>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</si>
  <si>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</si>
  <si>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</si>
  <si>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</si>
  <si>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</si>
  <si>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</si>
  <si>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</si>
  <si>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</si>
  <si>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</si>
  <si>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</si>
  <si>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</si>
  <si>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</si>
  <si>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</si>
  <si>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</si>
  <si>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</si>
  <si>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</si>
  <si>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</si>
  <si>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</si>
  <si>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</si>
  <si>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</si>
  <si>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</si>
  <si>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</si>
  <si>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</si>
  <si>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</si>
  <si>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</si>
  <si>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</si>
  <si>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</si>
  <si>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</si>
  <si>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</si>
  <si>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</si>
  <si>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</si>
  <si>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</si>
  <si>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</si>
  <si>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</si>
  <si>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</si>
  <si>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</si>
  <si>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</si>
  <si>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</si>
  <si>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</si>
  <si>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</si>
  <si>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</si>
  <si>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</si>
  <si>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</si>
  <si>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</si>
  <si>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</si>
  <si>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</si>
  <si>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</si>
  <si>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</si>
  <si>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</si>
  <si>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</si>
  <si>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</si>
  <si>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</si>
  <si>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</si>
  <si>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</si>
  <si>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</si>
  <si>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</si>
  <si>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</si>
  <si>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</si>
  <si>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</si>
  <si>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</si>
  <si>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</si>
  <si>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</si>
  <si>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</si>
  <si>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</si>
  <si>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</si>
  <si>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</si>
  <si>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</si>
  <si>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</si>
  <si>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</si>
  <si>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</si>
  <si>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</si>
  <si>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</si>
  <si>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</si>
  <si>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</si>
  <si>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</si>
  <si>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</si>
  <si>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</si>
  <si>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</si>
  <si>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</si>
  <si>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</si>
  <si>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</si>
  <si>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</si>
  <si>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</si>
  <si>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</si>
  <si>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</si>
  <si>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</si>
  <si>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</si>
  <si>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</si>
  <si>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</si>
  <si>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</si>
  <si>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</si>
  <si>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</si>
  <si>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</si>
  <si>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</si>
  <si>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</si>
  <si>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</si>
  <si>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</si>
  <si>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</si>
  <si>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</si>
  <si>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</si>
  <si>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</si>
  <si>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</si>
  <si>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</si>
  <si>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</si>
  <si>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</si>
  <si>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</si>
  <si>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</si>
  <si>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</si>
  <si>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</si>
  <si>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</si>
  <si>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</si>
  <si>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</si>
  <si>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</si>
  <si>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</si>
  <si>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sut pak 2019-11-13</t>
  </si>
  <si>
    <t>Įgyvendinus projektą bus atnaujinta miesto centre esanti Zarasų gatvė (0,134 km): rekonstruota gatvės danga ir jos konstrukcija, įrengtas šaligatvis, atnaujintas apšvietimas . Rekonstravus Zarasų gatvę, be minėtų problemų sprendimo, kartu bus didinamas miesto patrauklumas ir gyventojų saugumas bei mobilumas, mažinamas neigiamas poveikis aplinkai.</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</si>
  <si>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(1,36 km.) ir įdiegti eismo saugumo priemones. </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</si>
  <si>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</si>
  <si>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 xml:space="preserve">Šio projekto apimtyse numatoma: 1. Pėsčiųjų tako dešinėje Žvejų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</si>
  <si>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</si>
  <si>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</si>
  <si>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</si>
  <si>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</si>
  <si>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</si>
  <si>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</si>
  <si>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</si>
  <si>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</si>
  <si>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</si>
  <si>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</si>
  <si>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likviduoti  šešis bešeimininkius avarinės būklės statinius Utenos rajone: Fermą II Noliškio k, Daugailių sen., Beicavimo aikštelę Šlepečių k., Daugailių sen., Veršidę ir sandėlį, Pilkenių k., Tauragnų sen., Fermą, Juškėnų k., Sudeikių sen., Kiaulidę, Antandrajos k., Daugailių sen., Kiaulidę Garnių k., Tauragnų sen. Veiklos planuojamos atsižvelgiant į kraštovaizdžio architektūrinės erdvinės kompozicijos darnos užtikrinimą, ekologinio stabilumo palaikymą, sąlygų išsaugoti kraštovaizdžio gamtines vertybes sudarymą. Veiklos atitinka PFSA 11.4 punkte nurodytai veiklai – bešeimininkių apleistų pastatų ir įrenginių likvidavimas. Įgyvendinus projektą, bus užtikrinta gamtos ir rekreacinių išteklių apsauga ir racionalus naudojimas, padidintas kraštovaizdžio estetinis potencialas.</t>
  </si>
  <si>
    <t xml:space="preserve">Siekiant padidinti Zarasų rajono kraštovaizdžio vizualinį estetinį potencialą, projekto įgyvendinimo metu numatoma likviduoti bešeimininkius apleistus pastatus bei sutvarkyti teritorijas, kuriose jie bus likviduojami. Projektu siekiama prisidėti prie kraštovaizdžio arealų (teritorijų) būklės gerinimo stiprinant ir palaikant kraštovaizdžio ekologinę pusiausvyrą, didinant kraštovaizdžio vizualinį estetinį potencialą. Likvidavus bešeimininkius apleistus pastatus pagerės Zarasų rajono kraštovaizdžio būklė, gyvenamosios aplinkos kokybė, padidės estetinė vertė, vietovės socialinis ir investicinis patrauklumas. </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</si>
  <si>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</si>
  <si>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 xml:space="preserve">UAB šeimos klinika HIPERIKA, siekdama padidinti pirminės asmens sveikatos priežiūros veiklos efektyvumą bei pagerinti teikiamų paslaugų kokybę Utenos rajono gyventojų ligų profilaktikos, prevencijos ir ankstyvosios diagnostikos srityse, projekto įgyvendinimo metu planuoja įsigyti būtiną medicininę įrangą, kompiuterinę techniką, gydytojų kabinetų baldus. Projekto metu bus įsigyta būtina medicininė ir kompiuterinė įranga, baldai šeimos gydytojų kabinetui kita diagnostinė įranga. </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</si>
  <si>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</si>
  <si>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Viso</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</si>
  <si>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</si>
  <si>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</si>
  <si>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</si>
  <si>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</si>
  <si>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</si>
  <si>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</si>
  <si>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</si>
  <si>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</si>
  <si>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</si>
  <si>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</si>
  <si>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</si>
  <si>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</si>
  <si>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</si>
  <si>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</si>
  <si>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</si>
  <si>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</si>
  <si>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</si>
  <si>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</si>
  <si>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</si>
  <si>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</si>
  <si>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</si>
  <si>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</si>
  <si>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</si>
  <si>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</si>
  <si>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</si>
  <si>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</si>
  <si>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</si>
  <si>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</si>
  <si>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</si>
  <si>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</si>
  <si>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</si>
  <si>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</si>
  <si>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</si>
  <si>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</si>
  <si>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</si>
  <si>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</si>
  <si>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</si>
  <si>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</si>
  <si>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</si>
  <si>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</si>
  <si>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</si>
  <si>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</si>
  <si>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</si>
  <si>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</si>
  <si>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</si>
  <si>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</si>
  <si>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</si>
  <si>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</si>
  <si>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</si>
  <si>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</si>
  <si>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</si>
  <si>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</si>
  <si>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</si>
  <si>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</si>
  <si>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</si>
  <si>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</si>
  <si>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</si>
  <si>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</si>
  <si>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</si>
  <si>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</si>
  <si>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</si>
  <si>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</si>
  <si>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</si>
  <si>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</si>
  <si>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</si>
  <si>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</si>
  <si>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</si>
  <si>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</si>
  <si>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</si>
  <si>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</si>
  <si>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</si>
  <si>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</si>
  <si>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</si>
  <si>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</si>
  <si>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</si>
  <si>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</si>
  <si>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</si>
  <si>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</si>
  <si>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</si>
  <si>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</si>
  <si>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</si>
  <si>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</si>
  <si>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</si>
  <si>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</si>
  <si>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Baigtų 12 projektų</t>
  </si>
  <si>
    <t>20KK-KU-17-1-XXXXX</t>
  </si>
  <si>
    <t>vnt</t>
  </si>
  <si>
    <t>Tikslas; darnaus išteklių naudojimo skatinimas</t>
  </si>
  <si>
    <t>Baigtas2020-01-07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</si>
</sst>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2"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strike/>
      <sz val="10"/>
      <color rgb="FFFF000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01">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wrapText="1"/>
    </xf>
    <xf numFmtId="0" fontId="11" fillId="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center"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center"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20"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9" fillId="0" borderId="1" xfId="0" applyFont="1" applyFill="1" applyBorder="1" applyAlignment="1">
      <alignment vertical="top" wrapText="1"/>
    </xf>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11" fillId="0" borderId="1" xfId="0" applyFont="1" applyFill="1" applyBorder="1" applyAlignment="1">
      <alignment horizontal="left" vertical="top" wrapText="1"/>
    </xf>
    <xf numFmtId="4" fontId="21" fillId="0" borderId="0" xfId="0" applyNumberFormat="1" applyFont="1"/>
    <xf numFmtId="4" fontId="22" fillId="0" borderId="1" xfId="0" applyNumberFormat="1" applyFont="1" applyBorder="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3" fillId="7" borderId="1" xfId="0" applyFont="1" applyFill="1" applyBorder="1" applyAlignment="1">
      <alignment vertical="center" wrapText="1"/>
    </xf>
    <xf numFmtId="0" fontId="23" fillId="7" borderId="1" xfId="0" applyFont="1" applyFill="1" applyBorder="1" applyAlignment="1">
      <alignment vertical="top" wrapText="1"/>
    </xf>
    <xf numFmtId="0" fontId="24"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2"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1" fillId="0" borderId="0" xfId="0" applyFont="1" applyBorder="1"/>
    <xf numFmtId="4" fontId="26" fillId="0" borderId="0" xfId="0" applyNumberFormat="1" applyFont="1" applyBorder="1"/>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8" fillId="0" borderId="0" xfId="0" applyFont="1"/>
    <xf numFmtId="0" fontId="28" fillId="0" borderId="0" xfId="0" applyFont="1" applyAlignment="1">
      <alignment vertical="center"/>
    </xf>
    <xf numFmtId="0" fontId="0" fillId="0" borderId="0" xfId="0" applyAlignment="1">
      <alignment wrapText="1"/>
    </xf>
    <xf numFmtId="0" fontId="29"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5" fillId="0" borderId="1" xfId="0" applyFont="1" applyBorder="1"/>
    <xf numFmtId="2" fontId="25"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4" fillId="0" borderId="2" xfId="0" applyFont="1" applyFill="1" applyBorder="1" applyAlignment="1">
      <alignment vertical="top" wrapText="1"/>
    </xf>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5"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1" fillId="0" borderId="0" xfId="0" applyNumberFormat="1" applyFont="1" applyBorder="1"/>
    <xf numFmtId="4" fontId="21" fillId="0" borderId="16" xfId="0" applyNumberFormat="1" applyFont="1" applyBorder="1"/>
    <xf numFmtId="0" fontId="0" fillId="0" borderId="0" xfId="0" applyBorder="1" applyAlignment="1">
      <alignment wrapText="1"/>
    </xf>
    <xf numFmtId="0" fontId="21"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30" fillId="2" borderId="1" xfId="0" applyNumberFormat="1"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5" fillId="0" borderId="0" xfId="0" applyFont="1"/>
    <xf numFmtId="0" fontId="21" fillId="0" borderId="0" xfId="0" applyFont="1" applyAlignment="1">
      <alignment horizontal="center"/>
    </xf>
    <xf numFmtId="0" fontId="21" fillId="9" borderId="0" xfId="0" applyFont="1" applyFill="1" applyAlignment="1">
      <alignment horizontal="center"/>
    </xf>
    <xf numFmtId="0" fontId="0" fillId="9" borderId="0" xfId="0" applyFill="1"/>
    <xf numFmtId="0" fontId="21" fillId="10" borderId="0" xfId="0" applyFont="1" applyFill="1" applyAlignment="1">
      <alignment horizontal="center"/>
    </xf>
    <xf numFmtId="0" fontId="0" fillId="10" borderId="0" xfId="0" applyFill="1"/>
    <xf numFmtId="0" fontId="0" fillId="11" borderId="0" xfId="0" applyFill="1"/>
    <xf numFmtId="0" fontId="21" fillId="0" borderId="0" xfId="0" applyFont="1" applyFill="1" applyAlignment="1">
      <alignment horizontal="center"/>
    </xf>
    <xf numFmtId="0" fontId="0" fillId="0" borderId="0" xfId="0" applyFill="1"/>
    <xf numFmtId="0" fontId="21" fillId="12" borderId="0" xfId="0" applyFont="1" applyFill="1" applyAlignment="1">
      <alignment horizontal="center"/>
    </xf>
    <xf numFmtId="0" fontId="0" fillId="12" borderId="0" xfId="0" applyFill="1"/>
    <xf numFmtId="0" fontId="25" fillId="0" borderId="0" xfId="0" applyFont="1" applyFill="1"/>
    <xf numFmtId="0" fontId="25" fillId="8" borderId="0" xfId="0" applyFont="1" applyFill="1"/>
    <xf numFmtId="2" fontId="18" fillId="0" borderId="0" xfId="0" applyNumberFormat="1" applyFont="1" applyFill="1" applyBorder="1" applyAlignment="1">
      <alignment vertical="center" wrapText="1"/>
    </xf>
    <xf numFmtId="0" fontId="25" fillId="0" borderId="0" xfId="0" applyFont="1" applyFill="1" applyBorder="1"/>
    <xf numFmtId="2" fontId="25"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2" fillId="0" borderId="0" xfId="0" applyFont="1" applyFill="1"/>
    <xf numFmtId="0" fontId="33" fillId="7" borderId="1" xfId="0" applyFont="1" applyFill="1" applyBorder="1" applyAlignment="1">
      <alignment vertical="center" wrapText="1"/>
    </xf>
    <xf numFmtId="0" fontId="33"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1"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1" fillId="0" borderId="0" xfId="0" applyFont="1" applyBorder="1"/>
    <xf numFmtId="4" fontId="34" fillId="0" borderId="0" xfId="0" applyNumberFormat="1" applyFont="1" applyBorder="1"/>
    <xf numFmtId="0" fontId="25" fillId="0" borderId="1" xfId="0" applyFont="1" applyFill="1" applyBorder="1"/>
    <xf numFmtId="0" fontId="14" fillId="0" borderId="3" xfId="0" applyFont="1" applyBorder="1" applyAlignment="1">
      <alignment vertical="top" wrapText="1"/>
    </xf>
    <xf numFmtId="0" fontId="10" fillId="0" borderId="3" xfId="0" applyFont="1" applyBorder="1"/>
    <xf numFmtId="4" fontId="25" fillId="0" borderId="0" xfId="0" applyNumberFormat="1" applyFont="1" applyFill="1"/>
    <xf numFmtId="4" fontId="14" fillId="0" borderId="1" xfId="0" applyNumberFormat="1" applyFont="1" applyFill="1" applyBorder="1" applyAlignment="1">
      <alignment vertical="top" wrapText="1"/>
    </xf>
    <xf numFmtId="4" fontId="14" fillId="8"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1"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0" fillId="0" borderId="0" xfId="0" applyAlignment="1">
      <alignment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5" fillId="0" borderId="0" xfId="0" applyFont="1" applyBorder="1" applyAlignment="1">
      <alignment vertical="top" wrapText="1"/>
    </xf>
    <xf numFmtId="0" fontId="13" fillId="0" borderId="0" xfId="0" applyFont="1" applyAlignment="1">
      <alignment wrapText="1"/>
    </xf>
    <xf numFmtId="1" fontId="31" fillId="0" borderId="0" xfId="0" applyNumberFormat="1" applyFont="1" applyBorder="1"/>
    <xf numFmtId="1" fontId="31"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6"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9" fillId="0" borderId="1" xfId="0" applyFont="1" applyBorder="1" applyAlignment="1">
      <alignment horizontal="center"/>
    </xf>
    <xf numFmtId="0" fontId="29" fillId="0" borderId="3" xfId="0" applyFont="1" applyBorder="1" applyAlignment="1">
      <alignment horizontal="center"/>
    </xf>
    <xf numFmtId="0" fontId="38"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8"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9" fillId="0" borderId="0" xfId="0" applyFont="1" applyFill="1" applyBorder="1" applyAlignment="1">
      <alignment vertical="top"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3" fillId="0" borderId="0" xfId="0" applyFont="1" applyFill="1" applyBorder="1" applyAlignment="1">
      <alignment horizontal="center"/>
    </xf>
    <xf numFmtId="164" fontId="13" fillId="0" borderId="0" xfId="0" applyNumberFormat="1" applyFont="1"/>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165" fontId="13" fillId="0" borderId="0" xfId="0" applyNumberFormat="1" applyFont="1"/>
    <xf numFmtId="0" fontId="3" fillId="4" borderId="1" xfId="0" applyFont="1" applyFill="1" applyBorder="1" applyAlignment="1">
      <alignment vertical="top" wrapText="1"/>
    </xf>
    <xf numFmtId="0" fontId="13" fillId="0" borderId="0" xfId="0" applyFont="1" applyFill="1" applyAlignment="1">
      <alignment wrapText="1"/>
    </xf>
    <xf numFmtId="0" fontId="6" fillId="0" borderId="1" xfId="0" applyFont="1" applyFill="1" applyBorder="1" applyAlignment="1">
      <alignment vertical="top" wrapText="1"/>
    </xf>
    <xf numFmtId="0" fontId="39"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4" fontId="10" fillId="0" borderId="1" xfId="0" applyNumberFormat="1" applyFont="1" applyFill="1" applyBorder="1" applyAlignment="1">
      <alignment vertical="top"/>
    </xf>
    <xf numFmtId="0" fontId="10" fillId="0" borderId="1" xfId="0" applyFont="1" applyFill="1" applyBorder="1" applyAlignment="1">
      <alignment vertical="top"/>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40" fillId="0" borderId="1" xfId="0" applyFont="1" applyFill="1" applyBorder="1" applyAlignment="1">
      <alignment vertical="top" wrapText="1"/>
    </xf>
    <xf numFmtId="0" fontId="40" fillId="0" borderId="1" xfId="0" applyFont="1" applyFill="1" applyBorder="1" applyAlignment="1">
      <alignment vertical="center" wrapText="1"/>
    </xf>
    <xf numFmtId="1" fontId="41" fillId="6" borderId="1" xfId="0" applyNumberFormat="1" applyFont="1" applyFill="1" applyBorder="1" applyAlignment="1">
      <alignment vertical="center"/>
    </xf>
    <xf numFmtId="0" fontId="41" fillId="6" borderId="1" xfId="0" applyFont="1" applyFill="1" applyBorder="1" applyAlignment="1">
      <alignment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xf numFmtId="0" fontId="0" fillId="0" borderId="3" xfId="0" applyBorder="1" applyAlignment="1"/>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8"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9" fillId="0" borderId="1" xfId="0" applyFont="1" applyBorder="1" applyAlignment="1"/>
    <xf numFmtId="0" fontId="37" fillId="0" borderId="1" xfId="0" applyFont="1" applyBorder="1" applyAlignment="1"/>
    <xf numFmtId="0" fontId="1" fillId="0" borderId="16" xfId="0" applyFont="1" applyBorder="1" applyAlignment="1">
      <alignment wrapText="1"/>
    </xf>
    <xf numFmtId="0" fontId="38" fillId="0" borderId="16" xfId="0" applyFont="1" applyBorder="1" applyAlignment="1">
      <alignment wrapText="1"/>
    </xf>
    <xf numFmtId="0" fontId="29" fillId="0" borderId="0" xfId="0" applyFont="1" applyAlignment="1">
      <alignment horizontal="center"/>
    </xf>
    <xf numFmtId="0" fontId="29" fillId="0" borderId="17" xfId="0" applyFont="1" applyBorder="1" applyAlignment="1">
      <alignment horizontal="center"/>
    </xf>
    <xf numFmtId="0" fontId="29" fillId="0" borderId="2" xfId="0" applyFont="1" applyBorder="1" applyAlignment="1"/>
    <xf numFmtId="0" fontId="37"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12"/>
  <sheetViews>
    <sheetView tabSelected="1" zoomScale="90" zoomScaleNormal="90" workbookViewId="0">
      <pane ySplit="7" topLeftCell="A53" activePane="bottomLeft" state="frozen"/>
      <selection pane="bottomLeft" activeCell="H53" sqref="H53"/>
    </sheetView>
  </sheetViews>
  <sheetFormatPr defaultRowHeight="15" x14ac:dyDescent="0.25"/>
  <cols>
    <col min="1" max="1" width="4.42578125" style="1" customWidth="1"/>
    <col min="2" max="2" width="10.28515625" customWidth="1"/>
    <col min="3" max="3" width="12.28515625" customWidth="1"/>
    <col min="4" max="4" width="12.42578125" customWidth="1"/>
    <col min="5" max="5" width="10.85546875" customWidth="1"/>
    <col min="6" max="6" width="12" customWidth="1"/>
    <col min="7" max="7" width="12.5703125" customWidth="1"/>
    <col min="8" max="8" width="12.42578125" customWidth="1"/>
    <col min="10" max="10" width="11" customWidth="1"/>
    <col min="11" max="12" width="11" style="1" customWidth="1"/>
    <col min="14" max="15" width="9.140625" style="1"/>
    <col min="16" max="16" width="13" style="1" customWidth="1"/>
    <col min="17" max="18" width="12.7109375" style="1" customWidth="1"/>
    <col min="19" max="19" width="12.85546875" style="1" customWidth="1"/>
    <col min="22" max="22" width="12.7109375" bestFit="1" customWidth="1"/>
    <col min="26" max="26" width="12.85546875" customWidth="1"/>
  </cols>
  <sheetData>
    <row r="1" spans="2:19" ht="15.75" x14ac:dyDescent="0.25">
      <c r="B1" s="6"/>
      <c r="C1" s="6"/>
      <c r="D1" s="6"/>
      <c r="E1" s="6"/>
      <c r="F1" s="6"/>
      <c r="G1" s="6"/>
      <c r="H1" s="6"/>
      <c r="J1" s="7"/>
      <c r="K1" s="7"/>
      <c r="L1" s="7"/>
      <c r="N1" s="7"/>
      <c r="O1" s="7"/>
      <c r="P1" s="2" t="s">
        <v>9</v>
      </c>
      <c r="Q1" s="7"/>
      <c r="R1" s="7"/>
      <c r="S1" s="7"/>
    </row>
    <row r="2" spans="2:19" ht="15.75" x14ac:dyDescent="0.25">
      <c r="B2" s="6"/>
      <c r="C2" s="6"/>
      <c r="D2" s="6"/>
      <c r="E2" s="6"/>
      <c r="F2" s="6"/>
      <c r="G2" s="6"/>
      <c r="H2" s="6"/>
      <c r="J2" s="8"/>
      <c r="K2" s="8"/>
      <c r="L2" s="8"/>
      <c r="N2" s="8"/>
      <c r="O2" s="8"/>
      <c r="P2" s="3" t="s">
        <v>1</v>
      </c>
      <c r="Q2" s="8"/>
      <c r="R2" s="8"/>
      <c r="S2" s="8"/>
    </row>
    <row r="3" spans="2:19" ht="15.75" x14ac:dyDescent="0.25">
      <c r="B3" s="6"/>
      <c r="C3" s="6"/>
      <c r="D3" s="6"/>
      <c r="E3" s="6"/>
      <c r="F3" s="6"/>
      <c r="G3" s="6"/>
      <c r="H3" s="6"/>
      <c r="J3" s="8"/>
      <c r="K3" s="8"/>
      <c r="L3" s="8"/>
      <c r="N3" s="8"/>
      <c r="O3" s="8"/>
      <c r="P3" s="3" t="s">
        <v>2</v>
      </c>
      <c r="Q3" s="8"/>
      <c r="R3" s="8"/>
      <c r="S3" s="8"/>
    </row>
    <row r="4" spans="2:19" s="1" customFormat="1" ht="15.75" x14ac:dyDescent="0.25">
      <c r="B4" s="5" t="s">
        <v>34</v>
      </c>
      <c r="C4" s="6"/>
      <c r="D4" s="6"/>
      <c r="E4" s="6"/>
      <c r="F4" s="6"/>
      <c r="G4" s="6"/>
      <c r="H4" s="6"/>
      <c r="J4" s="8"/>
      <c r="K4" s="8"/>
      <c r="L4" s="8"/>
      <c r="N4" s="8"/>
      <c r="O4" s="8"/>
      <c r="P4" s="8"/>
      <c r="Q4" s="8"/>
      <c r="R4" s="8"/>
      <c r="S4" s="8"/>
    </row>
    <row r="5" spans="2:19" ht="15.75" x14ac:dyDescent="0.25">
      <c r="B5" s="9" t="s">
        <v>43</v>
      </c>
      <c r="C5" s="6"/>
      <c r="D5" s="6"/>
      <c r="E5" s="6"/>
      <c r="F5" s="6"/>
      <c r="G5" s="6"/>
      <c r="H5" s="6"/>
      <c r="I5" s="6"/>
      <c r="J5" s="6"/>
      <c r="K5" s="6"/>
      <c r="L5" s="6"/>
      <c r="M5" s="6"/>
      <c r="N5" s="6"/>
      <c r="O5" s="6"/>
    </row>
    <row r="6" spans="2:19" s="1" customFormat="1" ht="29.25" customHeight="1" x14ac:dyDescent="0.25">
      <c r="B6" s="358" t="s">
        <v>46</v>
      </c>
      <c r="C6" s="360"/>
      <c r="D6" s="360"/>
      <c r="E6" s="360"/>
      <c r="F6" s="360"/>
      <c r="G6" s="360"/>
      <c r="H6" s="360"/>
      <c r="I6" s="360"/>
      <c r="J6" s="360"/>
      <c r="K6" s="360"/>
      <c r="L6" s="360"/>
      <c r="M6" s="361"/>
      <c r="N6" s="358" t="s">
        <v>8</v>
      </c>
      <c r="O6" s="359"/>
      <c r="P6" s="362" t="s">
        <v>10</v>
      </c>
      <c r="Q6" s="363"/>
      <c r="R6" s="363"/>
      <c r="S6" s="363"/>
    </row>
    <row r="7" spans="2:19" ht="91.5" customHeight="1" x14ac:dyDescent="0.25">
      <c r="B7" s="12" t="s">
        <v>19</v>
      </c>
      <c r="C7" s="12" t="s">
        <v>27</v>
      </c>
      <c r="D7" s="12" t="s">
        <v>14</v>
      </c>
      <c r="E7" s="12" t="s">
        <v>5</v>
      </c>
      <c r="F7" s="12" t="s">
        <v>18</v>
      </c>
      <c r="G7" s="12" t="s">
        <v>3</v>
      </c>
      <c r="H7" s="13" t="s">
        <v>28</v>
      </c>
      <c r="I7" s="12" t="s">
        <v>29</v>
      </c>
      <c r="J7" s="12" t="s">
        <v>30</v>
      </c>
      <c r="K7" s="16" t="s">
        <v>31</v>
      </c>
      <c r="L7" s="16" t="s">
        <v>32</v>
      </c>
      <c r="M7" s="12" t="s">
        <v>33</v>
      </c>
      <c r="N7" s="10" t="s">
        <v>6</v>
      </c>
      <c r="O7" s="10" t="s">
        <v>7</v>
      </c>
      <c r="P7" s="18" t="s">
        <v>42</v>
      </c>
      <c r="Q7" s="19" t="s">
        <v>49</v>
      </c>
      <c r="R7" s="19" t="s">
        <v>47</v>
      </c>
      <c r="S7" s="19" t="s">
        <v>35</v>
      </c>
    </row>
    <row r="8" spans="2:19" s="1" customFormat="1" ht="13.5" customHeight="1" x14ac:dyDescent="0.25">
      <c r="B8" s="17">
        <v>1</v>
      </c>
      <c r="C8" s="17">
        <v>2</v>
      </c>
      <c r="D8" s="17">
        <v>3</v>
      </c>
      <c r="E8" s="17">
        <v>4</v>
      </c>
      <c r="F8" s="17">
        <v>5</v>
      </c>
      <c r="G8" s="17">
        <v>6</v>
      </c>
      <c r="H8" s="17">
        <v>7</v>
      </c>
      <c r="I8" s="17">
        <v>8</v>
      </c>
      <c r="J8" s="17">
        <v>9</v>
      </c>
      <c r="K8" s="17">
        <v>10</v>
      </c>
      <c r="L8" s="17">
        <v>11</v>
      </c>
      <c r="M8" s="17">
        <v>12</v>
      </c>
      <c r="N8" s="17">
        <v>13</v>
      </c>
      <c r="O8" s="17">
        <v>14</v>
      </c>
      <c r="P8" s="17">
        <v>15</v>
      </c>
      <c r="Q8" s="17">
        <v>16</v>
      </c>
      <c r="R8" s="17">
        <v>17</v>
      </c>
      <c r="S8" s="17">
        <v>18</v>
      </c>
    </row>
    <row r="9" spans="2:19" s="6" customFormat="1" ht="67.5" customHeight="1" x14ac:dyDescent="0.25">
      <c r="B9" s="21" t="s">
        <v>0</v>
      </c>
      <c r="C9" s="21"/>
      <c r="D9" s="21" t="s">
        <v>50</v>
      </c>
      <c r="E9" s="21"/>
      <c r="F9" s="21"/>
      <c r="G9" s="21"/>
      <c r="H9" s="21"/>
      <c r="I9" s="21"/>
      <c r="J9" s="21"/>
      <c r="K9" s="21"/>
      <c r="L9" s="21"/>
      <c r="M9" s="21"/>
      <c r="N9" s="21"/>
      <c r="O9" s="21"/>
      <c r="P9" s="21"/>
      <c r="Q9" s="21"/>
      <c r="R9" s="21"/>
      <c r="S9" s="21"/>
    </row>
    <row r="10" spans="2:19" s="6" customFormat="1" ht="213.75" customHeight="1" x14ac:dyDescent="0.25">
      <c r="B10" s="22" t="s">
        <v>51</v>
      </c>
      <c r="C10" s="23"/>
      <c r="D10" s="24" t="s">
        <v>52</v>
      </c>
      <c r="E10" s="23"/>
      <c r="F10" s="22"/>
      <c r="G10" s="22"/>
      <c r="H10" s="23"/>
      <c r="I10" s="22"/>
      <c r="J10" s="23"/>
      <c r="K10" s="23"/>
      <c r="L10" s="22"/>
      <c r="M10" s="22"/>
      <c r="N10" s="22"/>
      <c r="O10" s="23"/>
      <c r="P10" s="22"/>
      <c r="Q10" s="23"/>
      <c r="R10" s="22"/>
      <c r="S10" s="22"/>
    </row>
    <row r="11" spans="2:19" s="6" customFormat="1" ht="128.25" customHeight="1" x14ac:dyDescent="0.25">
      <c r="B11" s="25" t="s">
        <v>53</v>
      </c>
      <c r="C11" s="26"/>
      <c r="D11" s="26" t="s">
        <v>54</v>
      </c>
      <c r="E11" s="26"/>
      <c r="F11" s="25"/>
      <c r="G11" s="26"/>
      <c r="H11" s="25"/>
      <c r="I11" s="26"/>
      <c r="J11" s="25"/>
      <c r="K11" s="25"/>
      <c r="L11" s="26"/>
      <c r="M11" s="26"/>
      <c r="N11" s="25"/>
      <c r="O11" s="26"/>
      <c r="P11" s="25"/>
      <c r="Q11" s="26"/>
      <c r="R11" s="25"/>
      <c r="S11" s="26"/>
    </row>
    <row r="12" spans="2:19" s="6" customFormat="1" ht="51" customHeight="1" x14ac:dyDescent="0.25">
      <c r="B12" s="27" t="s">
        <v>55</v>
      </c>
      <c r="C12" s="27"/>
      <c r="D12" s="27" t="s">
        <v>56</v>
      </c>
      <c r="E12" s="27"/>
      <c r="F12" s="27"/>
      <c r="G12" s="27"/>
      <c r="H12" s="27"/>
      <c r="I12" s="27"/>
      <c r="J12" s="27"/>
      <c r="K12" s="27"/>
      <c r="L12" s="27"/>
      <c r="M12" s="27"/>
      <c r="N12" s="27"/>
      <c r="O12" s="27"/>
      <c r="P12" s="278">
        <f>P13+P14+P15+P16+P17+P18+P19+P20+P21+P22+P23+P24+P25+P26</f>
        <v>12661458.240000002</v>
      </c>
      <c r="Q12" s="278">
        <f>Q13+Q14+Q15+Q16+Q17+Q18+Q19+Q20+Q21+Q22+Q23+Q24+Q25+Q26</f>
        <v>9412452.6700000018</v>
      </c>
      <c r="R12" s="278">
        <f>R13+R14+R15+R16+R17+R18+R19+R20+R21+R22+R23+R24+R25+R26</f>
        <v>844991.11</v>
      </c>
      <c r="S12" s="278">
        <f>S13+S14+S15+S16+S17+S18+S19+S20+S21+S22+S23+S24+S25+S26</f>
        <v>2404014.46</v>
      </c>
    </row>
    <row r="13" spans="2:19" s="6" customFormat="1" ht="74.25" customHeight="1" x14ac:dyDescent="0.25">
      <c r="B13" s="15" t="s">
        <v>57</v>
      </c>
      <c r="C13" s="28" t="s">
        <v>58</v>
      </c>
      <c r="D13" s="29" t="s">
        <v>59</v>
      </c>
      <c r="E13" s="29" t="s">
        <v>60</v>
      </c>
      <c r="F13" s="29" t="s">
        <v>61</v>
      </c>
      <c r="G13" s="29" t="s">
        <v>62</v>
      </c>
      <c r="H13" s="29" t="s">
        <v>63</v>
      </c>
      <c r="I13" s="29" t="s">
        <v>64</v>
      </c>
      <c r="J13" s="29" t="s">
        <v>65</v>
      </c>
      <c r="K13" s="29" t="s">
        <v>66</v>
      </c>
      <c r="L13" s="29" t="s">
        <v>66</v>
      </c>
      <c r="M13" s="29" t="s">
        <v>66</v>
      </c>
      <c r="N13" s="30" t="s">
        <v>69</v>
      </c>
      <c r="O13" s="30">
        <v>2020</v>
      </c>
      <c r="P13" s="29">
        <v>1774839.96</v>
      </c>
      <c r="Q13" s="29">
        <v>1441407.94</v>
      </c>
      <c r="R13" s="29">
        <v>127183.06</v>
      </c>
      <c r="S13" s="29">
        <f>P13-Q13-R13</f>
        <v>206248.96000000002</v>
      </c>
    </row>
    <row r="14" spans="2:19" s="6" customFormat="1" ht="78" customHeight="1" x14ac:dyDescent="0.25">
      <c r="B14" s="15" t="s">
        <v>70</v>
      </c>
      <c r="C14" s="28" t="s">
        <v>71</v>
      </c>
      <c r="D14" s="29" t="s">
        <v>72</v>
      </c>
      <c r="E14" s="29" t="s">
        <v>60</v>
      </c>
      <c r="F14" s="29" t="s">
        <v>61</v>
      </c>
      <c r="G14" s="29" t="s">
        <v>73</v>
      </c>
      <c r="H14" s="29" t="s">
        <v>63</v>
      </c>
      <c r="I14" s="29" t="s">
        <v>64</v>
      </c>
      <c r="J14" s="29" t="s">
        <v>65</v>
      </c>
      <c r="K14" s="29" t="s">
        <v>66</v>
      </c>
      <c r="L14" s="29" t="s">
        <v>66</v>
      </c>
      <c r="M14" s="29" t="s">
        <v>66</v>
      </c>
      <c r="N14" s="30" t="s">
        <v>74</v>
      </c>
      <c r="O14" s="30">
        <v>2019</v>
      </c>
      <c r="P14" s="29">
        <v>1142603.75</v>
      </c>
      <c r="Q14" s="29">
        <v>881242</v>
      </c>
      <c r="R14" s="29">
        <v>77757</v>
      </c>
      <c r="S14" s="29">
        <f t="shared" ref="S14:S25" si="0">P14-Q14-R14</f>
        <v>183604.75</v>
      </c>
    </row>
    <row r="15" spans="2:19" s="6" customFormat="1" ht="90" customHeight="1" x14ac:dyDescent="0.25">
      <c r="B15" s="15" t="s">
        <v>75</v>
      </c>
      <c r="C15" s="15" t="s">
        <v>76</v>
      </c>
      <c r="D15" s="32" t="s">
        <v>77</v>
      </c>
      <c r="E15" s="32" t="s">
        <v>60</v>
      </c>
      <c r="F15" s="32" t="s">
        <v>61</v>
      </c>
      <c r="G15" s="32" t="s">
        <v>73</v>
      </c>
      <c r="H15" s="32" t="s">
        <v>63</v>
      </c>
      <c r="I15" s="32" t="s">
        <v>64</v>
      </c>
      <c r="J15" s="32" t="s">
        <v>65</v>
      </c>
      <c r="K15" s="32" t="s">
        <v>66</v>
      </c>
      <c r="L15" s="32" t="s">
        <v>66</v>
      </c>
      <c r="M15" s="32" t="s">
        <v>66</v>
      </c>
      <c r="N15" s="31" t="s">
        <v>79</v>
      </c>
      <c r="O15" s="31">
        <v>2018</v>
      </c>
      <c r="P15" s="32">
        <v>667440.92000000004</v>
      </c>
      <c r="Q15" s="32">
        <v>567324.77</v>
      </c>
      <c r="R15" s="32">
        <v>50058.07</v>
      </c>
      <c r="S15" s="32">
        <f t="shared" si="0"/>
        <v>50058.080000000024</v>
      </c>
    </row>
    <row r="16" spans="2:19" s="6" customFormat="1" ht="74.25" customHeight="1" x14ac:dyDescent="0.25">
      <c r="B16" s="28" t="s">
        <v>80</v>
      </c>
      <c r="C16" s="28" t="s">
        <v>81</v>
      </c>
      <c r="D16" s="29" t="s">
        <v>82</v>
      </c>
      <c r="E16" s="29" t="s">
        <v>83</v>
      </c>
      <c r="F16" s="29" t="s">
        <v>84</v>
      </c>
      <c r="G16" s="29" t="s">
        <v>85</v>
      </c>
      <c r="H16" s="29" t="s">
        <v>63</v>
      </c>
      <c r="I16" s="29" t="s">
        <v>86</v>
      </c>
      <c r="J16" s="29" t="s">
        <v>30</v>
      </c>
      <c r="K16" s="29" t="s">
        <v>87</v>
      </c>
      <c r="L16" s="29" t="s">
        <v>87</v>
      </c>
      <c r="M16" s="29" t="s">
        <v>66</v>
      </c>
      <c r="N16" s="31" t="s">
        <v>89</v>
      </c>
      <c r="O16" s="31">
        <v>2023</v>
      </c>
      <c r="P16" s="29">
        <v>1426434</v>
      </c>
      <c r="Q16" s="29">
        <v>1212468</v>
      </c>
      <c r="R16" s="29">
        <v>106983</v>
      </c>
      <c r="S16" s="29">
        <f t="shared" si="0"/>
        <v>106983</v>
      </c>
    </row>
    <row r="17" spans="2:24" s="6" customFormat="1" ht="114.75" customHeight="1" x14ac:dyDescent="0.25">
      <c r="B17" s="15" t="s">
        <v>90</v>
      </c>
      <c r="C17" s="15" t="s">
        <v>91</v>
      </c>
      <c r="D17" s="32" t="s">
        <v>92</v>
      </c>
      <c r="E17" s="32" t="s">
        <v>93</v>
      </c>
      <c r="F17" s="32" t="s">
        <v>61</v>
      </c>
      <c r="G17" s="32" t="s">
        <v>94</v>
      </c>
      <c r="H17" s="32" t="s">
        <v>63</v>
      </c>
      <c r="I17" s="32" t="s">
        <v>64</v>
      </c>
      <c r="J17" s="32" t="s">
        <v>65</v>
      </c>
      <c r="K17" s="32" t="s">
        <v>66</v>
      </c>
      <c r="L17" s="32" t="s">
        <v>66</v>
      </c>
      <c r="M17" s="32" t="s">
        <v>66</v>
      </c>
      <c r="N17" s="31" t="s">
        <v>78</v>
      </c>
      <c r="O17" s="31">
        <v>2019</v>
      </c>
      <c r="P17" s="32">
        <v>985763.28</v>
      </c>
      <c r="Q17" s="32">
        <v>492299.07</v>
      </c>
      <c r="R17" s="32">
        <v>57917.54</v>
      </c>
      <c r="S17" s="32">
        <f>P17-Q17-R17</f>
        <v>435546.67000000004</v>
      </c>
    </row>
    <row r="18" spans="2:24" s="6" customFormat="1" ht="66" customHeight="1" x14ac:dyDescent="0.25">
      <c r="B18" s="15" t="s">
        <v>95</v>
      </c>
      <c r="C18" s="15" t="s">
        <v>96</v>
      </c>
      <c r="D18" s="32" t="s">
        <v>97</v>
      </c>
      <c r="E18" s="32" t="s">
        <v>93</v>
      </c>
      <c r="F18" s="32" t="s">
        <v>61</v>
      </c>
      <c r="G18" s="32" t="s">
        <v>94</v>
      </c>
      <c r="H18" s="32" t="s">
        <v>63</v>
      </c>
      <c r="I18" s="32" t="s">
        <v>64</v>
      </c>
      <c r="J18" s="32" t="s">
        <v>65</v>
      </c>
      <c r="K18" s="32" t="s">
        <v>66</v>
      </c>
      <c r="L18" s="32" t="s">
        <v>66</v>
      </c>
      <c r="M18" s="29" t="s">
        <v>66</v>
      </c>
      <c r="N18" s="31" t="s">
        <v>98</v>
      </c>
      <c r="O18" s="31">
        <v>2020</v>
      </c>
      <c r="P18" s="32">
        <v>342043.32</v>
      </c>
      <c r="Q18" s="32">
        <v>239999.57</v>
      </c>
      <c r="R18" s="32">
        <v>21176.43</v>
      </c>
      <c r="S18" s="29">
        <f t="shared" si="0"/>
        <v>80867.320000000007</v>
      </c>
    </row>
    <row r="19" spans="2:24" s="33" customFormat="1" ht="92.25" customHeight="1" x14ac:dyDescent="0.25">
      <c r="B19" s="15" t="s">
        <v>99</v>
      </c>
      <c r="C19" s="15" t="s">
        <v>100</v>
      </c>
      <c r="D19" s="32" t="s">
        <v>101</v>
      </c>
      <c r="E19" s="32" t="s">
        <v>102</v>
      </c>
      <c r="F19" s="32" t="s">
        <v>84</v>
      </c>
      <c r="G19" s="32" t="s">
        <v>103</v>
      </c>
      <c r="H19" s="32" t="s">
        <v>63</v>
      </c>
      <c r="I19" s="32" t="s">
        <v>86</v>
      </c>
      <c r="J19" s="32" t="s">
        <v>30</v>
      </c>
      <c r="K19" s="32" t="s">
        <v>87</v>
      </c>
      <c r="L19" s="32" t="s">
        <v>87</v>
      </c>
      <c r="M19" s="32" t="s">
        <v>66</v>
      </c>
      <c r="N19" s="31" t="s">
        <v>189</v>
      </c>
      <c r="O19" s="31">
        <v>2021</v>
      </c>
      <c r="P19" s="32">
        <v>891263.89</v>
      </c>
      <c r="Q19" s="32">
        <v>703501.72</v>
      </c>
      <c r="R19" s="32">
        <v>62073.68</v>
      </c>
      <c r="S19" s="32">
        <f t="shared" si="0"/>
        <v>125688.49000000005</v>
      </c>
      <c r="T19" s="6"/>
      <c r="U19" s="6"/>
      <c r="V19" s="6"/>
      <c r="W19" s="6"/>
      <c r="X19" s="6"/>
    </row>
    <row r="20" spans="2:24" s="33" customFormat="1" ht="156.75" customHeight="1" x14ac:dyDescent="0.25">
      <c r="B20" s="15" t="s">
        <v>106</v>
      </c>
      <c r="C20" s="15" t="s">
        <v>107</v>
      </c>
      <c r="D20" s="32" t="s">
        <v>108</v>
      </c>
      <c r="E20" s="32" t="s">
        <v>102</v>
      </c>
      <c r="F20" s="32" t="s">
        <v>84</v>
      </c>
      <c r="G20" s="32" t="s">
        <v>103</v>
      </c>
      <c r="H20" s="32" t="s">
        <v>63</v>
      </c>
      <c r="I20" s="32" t="s">
        <v>64</v>
      </c>
      <c r="J20" s="32" t="s">
        <v>65</v>
      </c>
      <c r="K20" s="32" t="s">
        <v>66</v>
      </c>
      <c r="L20" s="32" t="s">
        <v>66</v>
      </c>
      <c r="M20" s="32" t="s">
        <v>66</v>
      </c>
      <c r="N20" s="31" t="s">
        <v>110</v>
      </c>
      <c r="O20" s="31">
        <v>2020</v>
      </c>
      <c r="P20" s="32">
        <v>608050.61</v>
      </c>
      <c r="Q20" s="32">
        <v>502479.08</v>
      </c>
      <c r="R20" s="32">
        <v>44336.39</v>
      </c>
      <c r="S20" s="32">
        <v>61235.14</v>
      </c>
      <c r="T20" s="6"/>
      <c r="U20" s="6"/>
      <c r="V20" s="6"/>
      <c r="W20" s="6"/>
      <c r="X20" s="6"/>
    </row>
    <row r="21" spans="2:24" s="33" customFormat="1" ht="69.75" customHeight="1" x14ac:dyDescent="0.25">
      <c r="B21" s="15" t="s">
        <v>111</v>
      </c>
      <c r="C21" s="15" t="s">
        <v>112</v>
      </c>
      <c r="D21" s="32" t="s">
        <v>113</v>
      </c>
      <c r="E21" s="32" t="s">
        <v>93</v>
      </c>
      <c r="F21" s="32" t="s">
        <v>61</v>
      </c>
      <c r="G21" s="32" t="s">
        <v>94</v>
      </c>
      <c r="H21" s="32" t="s">
        <v>63</v>
      </c>
      <c r="I21" s="32" t="s">
        <v>64</v>
      </c>
      <c r="J21" s="32" t="s">
        <v>65</v>
      </c>
      <c r="K21" s="32" t="s">
        <v>66</v>
      </c>
      <c r="L21" s="32" t="s">
        <v>66</v>
      </c>
      <c r="M21" s="32" t="s">
        <v>66</v>
      </c>
      <c r="N21" s="31" t="s">
        <v>114</v>
      </c>
      <c r="O21" s="31">
        <v>2020</v>
      </c>
      <c r="P21" s="32">
        <v>1137262.6599999999</v>
      </c>
      <c r="Q21" s="32">
        <v>700000</v>
      </c>
      <c r="R21" s="32">
        <v>61765</v>
      </c>
      <c r="S21" s="32">
        <f t="shared" si="0"/>
        <v>375497.65999999992</v>
      </c>
      <c r="T21" s="6"/>
      <c r="U21" s="6"/>
      <c r="V21" s="6"/>
      <c r="W21" s="6"/>
      <c r="X21" s="6"/>
    </row>
    <row r="22" spans="2:24" s="33" customFormat="1" ht="69.75" customHeight="1" x14ac:dyDescent="0.25">
      <c r="B22" s="15" t="s">
        <v>115</v>
      </c>
      <c r="C22" s="15" t="s">
        <v>116</v>
      </c>
      <c r="D22" s="32" t="s">
        <v>117</v>
      </c>
      <c r="E22" s="32" t="s">
        <v>102</v>
      </c>
      <c r="F22" s="32" t="s">
        <v>84</v>
      </c>
      <c r="G22" s="32" t="s">
        <v>103</v>
      </c>
      <c r="H22" s="32" t="s">
        <v>63</v>
      </c>
      <c r="I22" s="32" t="s">
        <v>86</v>
      </c>
      <c r="J22" s="32" t="s">
        <v>30</v>
      </c>
      <c r="K22" s="32" t="s">
        <v>87</v>
      </c>
      <c r="L22" s="32" t="s">
        <v>87</v>
      </c>
      <c r="M22" s="32" t="s">
        <v>66</v>
      </c>
      <c r="N22" s="31" t="s">
        <v>118</v>
      </c>
      <c r="O22" s="31">
        <v>2021</v>
      </c>
      <c r="P22" s="32">
        <v>1365071.92</v>
      </c>
      <c r="Q22" s="32">
        <v>865499.4</v>
      </c>
      <c r="R22" s="32">
        <v>76367.600000000006</v>
      </c>
      <c r="S22" s="32">
        <f t="shared" si="0"/>
        <v>423204.91999999993</v>
      </c>
      <c r="T22" s="6"/>
      <c r="U22" s="6"/>
      <c r="V22" s="6"/>
      <c r="W22" s="6"/>
      <c r="X22" s="6"/>
    </row>
    <row r="23" spans="2:24" s="33" customFormat="1" ht="102" customHeight="1" x14ac:dyDescent="0.25">
      <c r="B23" s="15" t="s">
        <v>119</v>
      </c>
      <c r="C23" s="15" t="s">
        <v>120</v>
      </c>
      <c r="D23" s="32" t="s">
        <v>121</v>
      </c>
      <c r="E23" s="32" t="s">
        <v>102</v>
      </c>
      <c r="F23" s="32" t="s">
        <v>84</v>
      </c>
      <c r="G23" s="32" t="s">
        <v>103</v>
      </c>
      <c r="H23" s="32" t="s">
        <v>63</v>
      </c>
      <c r="I23" s="32" t="s">
        <v>86</v>
      </c>
      <c r="J23" s="32" t="s">
        <v>30</v>
      </c>
      <c r="K23" s="32" t="s">
        <v>87</v>
      </c>
      <c r="L23" s="32" t="s">
        <v>87</v>
      </c>
      <c r="M23" s="32" t="s">
        <v>66</v>
      </c>
      <c r="N23" s="31" t="s">
        <v>189</v>
      </c>
      <c r="O23" s="31">
        <v>2021</v>
      </c>
      <c r="P23" s="32">
        <v>332642.24</v>
      </c>
      <c r="Q23" s="32">
        <v>249671.21</v>
      </c>
      <c r="R23" s="32">
        <v>22029.81</v>
      </c>
      <c r="S23" s="32">
        <f t="shared" si="0"/>
        <v>60941.22</v>
      </c>
      <c r="T23" s="6"/>
      <c r="U23" s="6"/>
      <c r="V23" s="6"/>
      <c r="W23" s="6"/>
      <c r="X23" s="6"/>
    </row>
    <row r="24" spans="2:24" s="6" customFormat="1" ht="76.5" customHeight="1" x14ac:dyDescent="0.25">
      <c r="B24" s="15" t="s">
        <v>123</v>
      </c>
      <c r="C24" s="15" t="s">
        <v>124</v>
      </c>
      <c r="D24" s="32" t="s">
        <v>125</v>
      </c>
      <c r="E24" s="32" t="s">
        <v>93</v>
      </c>
      <c r="F24" s="32" t="s">
        <v>61</v>
      </c>
      <c r="G24" s="32" t="s">
        <v>94</v>
      </c>
      <c r="H24" s="32" t="s">
        <v>63</v>
      </c>
      <c r="I24" s="32" t="s">
        <v>64</v>
      </c>
      <c r="J24" s="32" t="s">
        <v>65</v>
      </c>
      <c r="K24" s="32" t="s">
        <v>66</v>
      </c>
      <c r="L24" s="32" t="s">
        <v>66</v>
      </c>
      <c r="M24" s="32" t="s">
        <v>66</v>
      </c>
      <c r="N24" s="31" t="s">
        <v>67</v>
      </c>
      <c r="O24" s="31">
        <v>2019</v>
      </c>
      <c r="P24" s="32">
        <v>945911.74</v>
      </c>
      <c r="Q24" s="32">
        <v>797703.56</v>
      </c>
      <c r="R24" s="32">
        <v>70385.61</v>
      </c>
      <c r="S24" s="32">
        <f t="shared" si="0"/>
        <v>77822.569999999934</v>
      </c>
    </row>
    <row r="25" spans="2:24" s="6" customFormat="1" ht="91.5" customHeight="1" x14ac:dyDescent="0.25">
      <c r="B25" s="15" t="s">
        <v>127</v>
      </c>
      <c r="C25" s="15" t="s">
        <v>128</v>
      </c>
      <c r="D25" s="32" t="s">
        <v>129</v>
      </c>
      <c r="E25" s="32" t="s">
        <v>93</v>
      </c>
      <c r="F25" s="32" t="s">
        <v>61</v>
      </c>
      <c r="G25" s="32" t="s">
        <v>94</v>
      </c>
      <c r="H25" s="32" t="s">
        <v>63</v>
      </c>
      <c r="I25" s="32" t="s">
        <v>64</v>
      </c>
      <c r="J25" s="32" t="s">
        <v>65</v>
      </c>
      <c r="K25" s="32" t="s">
        <v>66</v>
      </c>
      <c r="L25" s="32" t="s">
        <v>66</v>
      </c>
      <c r="M25" s="29" t="s">
        <v>66</v>
      </c>
      <c r="N25" s="31" t="s">
        <v>98</v>
      </c>
      <c r="O25" s="31">
        <v>2020</v>
      </c>
      <c r="P25" s="53">
        <v>530184.80000000005</v>
      </c>
      <c r="Q25" s="32">
        <v>323702.96999999997</v>
      </c>
      <c r="R25" s="32">
        <v>28562.03</v>
      </c>
      <c r="S25" s="55">
        <f t="shared" si="0"/>
        <v>177919.80000000008</v>
      </c>
    </row>
    <row r="26" spans="2:24" s="6" customFormat="1" ht="78.75" customHeight="1" x14ac:dyDescent="0.25">
      <c r="B26" s="15" t="s">
        <v>130</v>
      </c>
      <c r="C26" s="15" t="s">
        <v>131</v>
      </c>
      <c r="D26" s="32" t="s">
        <v>132</v>
      </c>
      <c r="E26" s="29" t="s">
        <v>102</v>
      </c>
      <c r="F26" s="29" t="s">
        <v>84</v>
      </c>
      <c r="G26" s="29" t="s">
        <v>103</v>
      </c>
      <c r="H26" s="29" t="s">
        <v>63</v>
      </c>
      <c r="I26" s="29" t="s">
        <v>86</v>
      </c>
      <c r="J26" s="29" t="s">
        <v>30</v>
      </c>
      <c r="K26" s="29" t="s">
        <v>87</v>
      </c>
      <c r="L26" s="29" t="s">
        <v>87</v>
      </c>
      <c r="M26" s="29" t="s">
        <v>66</v>
      </c>
      <c r="N26" s="30" t="s">
        <v>118</v>
      </c>
      <c r="O26" s="30">
        <v>2020</v>
      </c>
      <c r="P26" s="29">
        <v>511945.15</v>
      </c>
      <c r="Q26" s="29">
        <v>435153.38</v>
      </c>
      <c r="R26" s="29">
        <v>38395.89</v>
      </c>
      <c r="S26" s="29">
        <v>38395.879999999997</v>
      </c>
      <c r="V26" s="299"/>
      <c r="W26" s="299"/>
    </row>
    <row r="27" spans="2:24" s="6" customFormat="1" ht="77.25" customHeight="1" x14ac:dyDescent="0.25">
      <c r="B27" s="27" t="s">
        <v>133</v>
      </c>
      <c r="C27" s="27"/>
      <c r="D27" s="27" t="s">
        <v>134</v>
      </c>
      <c r="E27" s="27"/>
      <c r="F27" s="27"/>
      <c r="G27" s="27"/>
      <c r="H27" s="27"/>
      <c r="I27" s="27"/>
      <c r="J27" s="27"/>
      <c r="K27" s="27"/>
      <c r="L27" s="27"/>
      <c r="M27" s="27"/>
      <c r="N27" s="27"/>
      <c r="O27" s="27"/>
      <c r="P27" s="278">
        <f>P28+P29+P30</f>
        <v>4344260.17</v>
      </c>
      <c r="Q27" s="278">
        <f>Q28+Q29+Q30</f>
        <v>3441264.61</v>
      </c>
      <c r="R27" s="278">
        <f t="shared" ref="R27:S27" si="1">R28+R29+R30</f>
        <v>303639.94</v>
      </c>
      <c r="S27" s="278">
        <f t="shared" si="1"/>
        <v>599355.61999999988</v>
      </c>
      <c r="V27"/>
    </row>
    <row r="28" spans="2:24" s="6" customFormat="1" ht="78" customHeight="1" x14ac:dyDescent="0.25">
      <c r="B28" s="15" t="s">
        <v>135</v>
      </c>
      <c r="C28" s="28" t="s">
        <v>136</v>
      </c>
      <c r="D28" s="29" t="s">
        <v>137</v>
      </c>
      <c r="E28" s="29" t="s">
        <v>138</v>
      </c>
      <c r="F28" s="29" t="s">
        <v>61</v>
      </c>
      <c r="G28" s="29" t="s">
        <v>139</v>
      </c>
      <c r="H28" s="29" t="s">
        <v>140</v>
      </c>
      <c r="I28" s="29" t="s">
        <v>64</v>
      </c>
      <c r="J28" s="29" t="s">
        <v>65</v>
      </c>
      <c r="K28" s="29" t="s">
        <v>87</v>
      </c>
      <c r="L28" s="29" t="s">
        <v>87</v>
      </c>
      <c r="M28" s="29" t="s">
        <v>66</v>
      </c>
      <c r="N28" s="30" t="s">
        <v>142</v>
      </c>
      <c r="O28" s="31">
        <v>2018</v>
      </c>
      <c r="P28" s="29">
        <v>280999.21000000002</v>
      </c>
      <c r="Q28" s="29">
        <v>238849.32</v>
      </c>
      <c r="R28" s="29">
        <v>21074.94</v>
      </c>
      <c r="S28" s="29">
        <f t="shared" ref="S28:S30" si="2">P28-Q28-R28</f>
        <v>21074.950000000015</v>
      </c>
    </row>
    <row r="29" spans="2:24" s="6" customFormat="1" ht="105" customHeight="1" x14ac:dyDescent="0.25">
      <c r="B29" s="15" t="s">
        <v>143</v>
      </c>
      <c r="C29" s="15" t="s">
        <v>144</v>
      </c>
      <c r="D29" s="32" t="s">
        <v>1195</v>
      </c>
      <c r="E29" s="32" t="s">
        <v>145</v>
      </c>
      <c r="F29" s="32" t="s">
        <v>61</v>
      </c>
      <c r="G29" s="32" t="s">
        <v>146</v>
      </c>
      <c r="H29" s="29" t="s">
        <v>147</v>
      </c>
      <c r="I29" s="29" t="s">
        <v>148</v>
      </c>
      <c r="J29" s="29" t="s">
        <v>65</v>
      </c>
      <c r="K29" s="29" t="s">
        <v>87</v>
      </c>
      <c r="L29" s="29" t="s">
        <v>87</v>
      </c>
      <c r="M29" s="29" t="s">
        <v>66</v>
      </c>
      <c r="N29" s="30" t="s">
        <v>67</v>
      </c>
      <c r="O29" s="31">
        <v>2020</v>
      </c>
      <c r="P29" s="29">
        <v>2967711.31</v>
      </c>
      <c r="Q29" s="29">
        <v>2333555.31</v>
      </c>
      <c r="R29" s="29">
        <v>205901</v>
      </c>
      <c r="S29" s="29">
        <f t="shared" si="2"/>
        <v>428255</v>
      </c>
    </row>
    <row r="30" spans="2:24" s="6" customFormat="1" ht="67.5" customHeight="1" x14ac:dyDescent="0.25">
      <c r="B30" s="15" t="s">
        <v>149</v>
      </c>
      <c r="C30" s="28" t="s">
        <v>150</v>
      </c>
      <c r="D30" s="29" t="s">
        <v>151</v>
      </c>
      <c r="E30" s="29" t="s">
        <v>152</v>
      </c>
      <c r="F30" s="29" t="s">
        <v>61</v>
      </c>
      <c r="G30" s="29" t="s">
        <v>153</v>
      </c>
      <c r="H30" s="29" t="s">
        <v>147</v>
      </c>
      <c r="I30" s="29" t="s">
        <v>148</v>
      </c>
      <c r="J30" s="29" t="s">
        <v>65</v>
      </c>
      <c r="K30" s="29" t="s">
        <v>87</v>
      </c>
      <c r="L30" s="29" t="s">
        <v>87</v>
      </c>
      <c r="M30" s="29" t="s">
        <v>66</v>
      </c>
      <c r="N30" s="30" t="s">
        <v>154</v>
      </c>
      <c r="O30" s="31">
        <v>2018</v>
      </c>
      <c r="P30" s="29">
        <v>1095549.6499999999</v>
      </c>
      <c r="Q30" s="29">
        <v>868859.98</v>
      </c>
      <c r="R30" s="32">
        <v>76664</v>
      </c>
      <c r="S30" s="29">
        <f t="shared" si="2"/>
        <v>150025.66999999993</v>
      </c>
    </row>
    <row r="31" spans="2:24" s="6" customFormat="1" ht="211.5" customHeight="1" x14ac:dyDescent="0.25">
      <c r="B31" s="26" t="s">
        <v>155</v>
      </c>
      <c r="C31" s="26"/>
      <c r="D31" s="26" t="s">
        <v>156</v>
      </c>
      <c r="E31" s="26"/>
      <c r="F31" s="25"/>
      <c r="G31" s="26"/>
      <c r="H31" s="26"/>
      <c r="I31" s="26"/>
      <c r="J31" s="25"/>
      <c r="K31" s="25"/>
      <c r="L31" s="26"/>
      <c r="M31" s="26"/>
      <c r="N31" s="26"/>
      <c r="O31" s="25"/>
      <c r="P31" s="26"/>
      <c r="Q31" s="26"/>
      <c r="R31" s="26"/>
      <c r="S31" s="26"/>
    </row>
    <row r="32" spans="2:24" s="6" customFormat="1" ht="51.75" customHeight="1" x14ac:dyDescent="0.25">
      <c r="B32" s="27" t="s">
        <v>157</v>
      </c>
      <c r="C32" s="27"/>
      <c r="D32" s="27" t="s">
        <v>158</v>
      </c>
      <c r="E32" s="27"/>
      <c r="F32" s="27"/>
      <c r="G32" s="27"/>
      <c r="H32" s="27"/>
      <c r="I32" s="27"/>
      <c r="J32" s="27"/>
      <c r="K32" s="27"/>
      <c r="L32" s="27"/>
      <c r="M32" s="27"/>
      <c r="N32" s="34"/>
      <c r="O32" s="27"/>
      <c r="P32" s="278">
        <f>P33</f>
        <v>895999.62</v>
      </c>
      <c r="Q32" s="278">
        <f t="shared" ref="Q32:S32" si="3">Q33</f>
        <v>761599.68</v>
      </c>
      <c r="R32" s="278">
        <f t="shared" si="3"/>
        <v>89599.96</v>
      </c>
      <c r="S32" s="278">
        <f t="shared" si="3"/>
        <v>44799.979999999938</v>
      </c>
    </row>
    <row r="33" spans="2:26" s="6" customFormat="1" ht="119.25" customHeight="1" x14ac:dyDescent="0.25">
      <c r="B33" s="32" t="s">
        <v>159</v>
      </c>
      <c r="C33" s="32" t="s">
        <v>160</v>
      </c>
      <c r="D33" s="32" t="s">
        <v>161</v>
      </c>
      <c r="E33" s="32" t="s">
        <v>138</v>
      </c>
      <c r="F33" s="32" t="s">
        <v>61</v>
      </c>
      <c r="G33" s="32" t="s">
        <v>162</v>
      </c>
      <c r="H33" s="32" t="s">
        <v>163</v>
      </c>
      <c r="I33" s="32" t="s">
        <v>64</v>
      </c>
      <c r="J33" s="29" t="s">
        <v>87</v>
      </c>
      <c r="K33" s="29" t="s">
        <v>87</v>
      </c>
      <c r="L33" s="29" t="s">
        <v>87</v>
      </c>
      <c r="M33" s="29" t="s">
        <v>66</v>
      </c>
      <c r="N33" s="31" t="s">
        <v>142</v>
      </c>
      <c r="O33" s="30">
        <v>2018</v>
      </c>
      <c r="P33" s="32">
        <v>895999.62</v>
      </c>
      <c r="Q33" s="32">
        <v>761599.68</v>
      </c>
      <c r="R33" s="32">
        <v>89599.96</v>
      </c>
      <c r="S33" s="29">
        <f t="shared" ref="S33" si="4">P33-Q33-R33</f>
        <v>44799.979999999938</v>
      </c>
    </row>
    <row r="34" spans="2:26" s="6" customFormat="1" ht="218.25" customHeight="1" x14ac:dyDescent="0.25">
      <c r="B34" s="26" t="s">
        <v>165</v>
      </c>
      <c r="C34" s="26"/>
      <c r="D34" s="26" t="s">
        <v>166</v>
      </c>
      <c r="E34" s="26"/>
      <c r="F34" s="26"/>
      <c r="G34" s="26"/>
      <c r="H34" s="26"/>
      <c r="I34" s="26"/>
      <c r="J34" s="26"/>
      <c r="K34" s="26"/>
      <c r="L34" s="26"/>
      <c r="M34" s="26"/>
      <c r="N34" s="26"/>
      <c r="O34" s="26"/>
      <c r="P34" s="26"/>
      <c r="Q34" s="26"/>
      <c r="R34" s="26"/>
      <c r="S34" s="26"/>
    </row>
    <row r="35" spans="2:26" s="6" customFormat="1" ht="102" customHeight="1" x14ac:dyDescent="0.25">
      <c r="B35" s="27" t="s">
        <v>167</v>
      </c>
      <c r="C35" s="27"/>
      <c r="D35" s="27" t="s">
        <v>168</v>
      </c>
      <c r="E35" s="27"/>
      <c r="F35" s="27"/>
      <c r="G35" s="27"/>
      <c r="H35" s="27"/>
      <c r="I35" s="27"/>
      <c r="J35" s="27"/>
      <c r="K35" s="27"/>
      <c r="L35" s="27"/>
      <c r="M35" s="27"/>
      <c r="N35" s="27"/>
      <c r="O35" s="27"/>
      <c r="P35" s="355">
        <f>P36</f>
        <v>5691099.9299999997</v>
      </c>
      <c r="Q35" s="355">
        <f t="shared" ref="Q35:S35" si="5">Q36</f>
        <v>4137156.88</v>
      </c>
      <c r="R35" s="355">
        <f t="shared" si="5"/>
        <v>0</v>
      </c>
      <c r="S35" s="355">
        <f t="shared" si="5"/>
        <v>1553943.0499999998</v>
      </c>
    </row>
    <row r="36" spans="2:26" s="6" customFormat="1" ht="85.5" customHeight="1" x14ac:dyDescent="0.25">
      <c r="B36" s="35" t="s">
        <v>1477</v>
      </c>
      <c r="C36" s="35"/>
      <c r="D36" s="35" t="s">
        <v>1478</v>
      </c>
      <c r="E36" s="35" t="s">
        <v>1479</v>
      </c>
      <c r="F36" s="35" t="s">
        <v>1480</v>
      </c>
      <c r="G36" s="35" t="s">
        <v>1481</v>
      </c>
      <c r="H36" s="35" t="s">
        <v>1482</v>
      </c>
      <c r="I36" s="35" t="s">
        <v>64</v>
      </c>
      <c r="J36" s="35" t="s">
        <v>66</v>
      </c>
      <c r="K36" s="35" t="s">
        <v>66</v>
      </c>
      <c r="L36" s="35" t="s">
        <v>66</v>
      </c>
      <c r="M36" s="35" t="s">
        <v>66</v>
      </c>
      <c r="N36" s="35">
        <v>2017</v>
      </c>
      <c r="O36" s="35">
        <v>2023</v>
      </c>
      <c r="P36" s="35">
        <v>5691099.9299999997</v>
      </c>
      <c r="Q36" s="35">
        <v>4137156.88</v>
      </c>
      <c r="R36" s="35">
        <v>0</v>
      </c>
      <c r="S36" s="35">
        <f>P36-Q36</f>
        <v>1553943.0499999998</v>
      </c>
    </row>
    <row r="37" spans="2:26" s="6" customFormat="1" ht="102.75" customHeight="1" x14ac:dyDescent="0.25">
      <c r="B37" s="27" t="s">
        <v>169</v>
      </c>
      <c r="C37" s="27"/>
      <c r="D37" s="27" t="s">
        <v>170</v>
      </c>
      <c r="E37" s="27"/>
      <c r="F37" s="27"/>
      <c r="G37" s="27"/>
      <c r="H37" s="27"/>
      <c r="I37" s="27"/>
      <c r="J37" s="27"/>
      <c r="K37" s="27"/>
      <c r="L37" s="27"/>
      <c r="M37" s="27"/>
      <c r="N37" s="27"/>
      <c r="O37" s="27"/>
      <c r="P37" s="27"/>
      <c r="Q37" s="27"/>
      <c r="R37" s="27"/>
      <c r="S37" s="27" t="s">
        <v>478</v>
      </c>
    </row>
    <row r="38" spans="2:26" s="6" customFormat="1" ht="105" customHeight="1" x14ac:dyDescent="0.25">
      <c r="B38" s="22" t="s">
        <v>171</v>
      </c>
      <c r="C38" s="23"/>
      <c r="D38" s="24" t="s">
        <v>172</v>
      </c>
      <c r="E38" s="23"/>
      <c r="F38" s="22"/>
      <c r="G38" s="22"/>
      <c r="H38" s="23"/>
      <c r="I38" s="22"/>
      <c r="J38" s="23"/>
      <c r="K38" s="23"/>
      <c r="L38" s="24"/>
      <c r="M38" s="24"/>
      <c r="N38" s="22"/>
      <c r="O38" s="23"/>
      <c r="P38" s="23"/>
      <c r="Q38" s="23"/>
      <c r="R38" s="22"/>
      <c r="S38" s="22"/>
    </row>
    <row r="39" spans="2:26" s="6" customFormat="1" ht="100.5" customHeight="1" x14ac:dyDescent="0.25">
      <c r="B39" s="26" t="s">
        <v>173</v>
      </c>
      <c r="C39" s="26"/>
      <c r="D39" s="26" t="s">
        <v>174</v>
      </c>
      <c r="E39" s="26"/>
      <c r="F39" s="26"/>
      <c r="G39" s="26"/>
      <c r="H39" s="26"/>
      <c r="I39" s="26"/>
      <c r="J39" s="26"/>
      <c r="K39" s="26"/>
      <c r="L39" s="26"/>
      <c r="M39" s="26"/>
      <c r="N39" s="26"/>
      <c r="O39" s="26"/>
      <c r="P39" s="26"/>
      <c r="Q39" s="26"/>
      <c r="R39" s="26"/>
      <c r="S39" s="26"/>
    </row>
    <row r="40" spans="2:26" s="6" customFormat="1" ht="43.5" customHeight="1" x14ac:dyDescent="0.25">
      <c r="B40" s="27" t="s">
        <v>175</v>
      </c>
      <c r="C40" s="27"/>
      <c r="D40" s="27" t="s">
        <v>176</v>
      </c>
      <c r="E40" s="27"/>
      <c r="F40" s="27"/>
      <c r="G40" s="27"/>
      <c r="H40" s="27"/>
      <c r="I40" s="27"/>
      <c r="J40" s="27"/>
      <c r="K40" s="27"/>
      <c r="L40" s="27"/>
      <c r="M40" s="27"/>
      <c r="N40" s="27"/>
      <c r="O40" s="27"/>
      <c r="P40" s="291">
        <f>Q40+R40+S40</f>
        <v>5457345.5099999998</v>
      </c>
      <c r="Q40" s="291">
        <f>Q41+Q42+Q43+Q44+Q45+Q46+Q47+Q48+Q49+Q50+Q51+Q52+Q53</f>
        <v>3988783.2</v>
      </c>
      <c r="R40" s="291">
        <f t="shared" ref="R40:S40" si="6">R41+R42+R43+R44+R45+R46+R47+R48+R49+R50+R51+R52+R53</f>
        <v>0</v>
      </c>
      <c r="S40" s="291">
        <f t="shared" si="6"/>
        <v>1468562.3099999998</v>
      </c>
    </row>
    <row r="41" spans="2:26" s="33" customFormat="1" ht="105" customHeight="1" x14ac:dyDescent="0.25">
      <c r="B41" s="35" t="s">
        <v>177</v>
      </c>
      <c r="C41" s="35" t="s">
        <v>178</v>
      </c>
      <c r="D41" s="35" t="s">
        <v>179</v>
      </c>
      <c r="E41" s="35" t="s">
        <v>138</v>
      </c>
      <c r="F41" s="35" t="s">
        <v>180</v>
      </c>
      <c r="G41" s="35" t="s">
        <v>139</v>
      </c>
      <c r="H41" s="35" t="s">
        <v>181</v>
      </c>
      <c r="I41" s="35" t="s">
        <v>64</v>
      </c>
      <c r="J41" s="35" t="s">
        <v>65</v>
      </c>
      <c r="K41" s="37" t="s">
        <v>87</v>
      </c>
      <c r="L41" s="37" t="s">
        <v>87</v>
      </c>
      <c r="M41" s="37" t="s">
        <v>66</v>
      </c>
      <c r="N41" s="36" t="s">
        <v>182</v>
      </c>
      <c r="O41" s="36">
        <v>2020</v>
      </c>
      <c r="P41" s="32">
        <v>338553.02</v>
      </c>
      <c r="Q41" s="32">
        <v>287770.06</v>
      </c>
      <c r="R41" s="86">
        <v>0</v>
      </c>
      <c r="S41" s="29">
        <f t="shared" ref="S41:S51" si="7">P41-Q41-R41</f>
        <v>50782.960000000021</v>
      </c>
      <c r="T41" s="6"/>
      <c r="U41" s="6"/>
      <c r="V41" s="6"/>
      <c r="W41" s="6"/>
      <c r="X41" s="6"/>
    </row>
    <row r="42" spans="2:26" s="6" customFormat="1" ht="70.5" customHeight="1" x14ac:dyDescent="0.25">
      <c r="B42" s="207" t="s">
        <v>183</v>
      </c>
      <c r="C42" s="207" t="s">
        <v>184</v>
      </c>
      <c r="D42" s="207" t="s">
        <v>185</v>
      </c>
      <c r="E42" s="207" t="s">
        <v>186</v>
      </c>
      <c r="F42" s="207" t="s">
        <v>180</v>
      </c>
      <c r="G42" s="207" t="s">
        <v>187</v>
      </c>
      <c r="H42" s="207" t="s">
        <v>181</v>
      </c>
      <c r="I42" s="207" t="s">
        <v>64</v>
      </c>
      <c r="J42" s="207" t="s">
        <v>65</v>
      </c>
      <c r="K42" s="207" t="s">
        <v>87</v>
      </c>
      <c r="L42" s="207" t="s">
        <v>87</v>
      </c>
      <c r="M42" s="207" t="s">
        <v>66</v>
      </c>
      <c r="N42" s="292" t="s">
        <v>189</v>
      </c>
      <c r="O42" s="292">
        <v>2021</v>
      </c>
      <c r="P42" s="216">
        <v>194771.6</v>
      </c>
      <c r="Q42" s="216">
        <v>127500</v>
      </c>
      <c r="R42" s="216">
        <v>0</v>
      </c>
      <c r="S42" s="216">
        <f t="shared" si="7"/>
        <v>67271.600000000006</v>
      </c>
    </row>
    <row r="43" spans="2:26" s="6" customFormat="1" ht="150" customHeight="1" x14ac:dyDescent="0.25">
      <c r="B43" s="207" t="s">
        <v>190</v>
      </c>
      <c r="C43" s="207" t="s">
        <v>191</v>
      </c>
      <c r="D43" s="207" t="s">
        <v>192</v>
      </c>
      <c r="E43" s="207" t="s">
        <v>60</v>
      </c>
      <c r="F43" s="207" t="s">
        <v>180</v>
      </c>
      <c r="G43" s="207" t="s">
        <v>73</v>
      </c>
      <c r="H43" s="207" t="s">
        <v>181</v>
      </c>
      <c r="I43" s="207" t="s">
        <v>64</v>
      </c>
      <c r="J43" s="207" t="s">
        <v>65</v>
      </c>
      <c r="K43" s="207" t="s">
        <v>87</v>
      </c>
      <c r="L43" s="207" t="s">
        <v>87</v>
      </c>
      <c r="M43" s="207" t="s">
        <v>66</v>
      </c>
      <c r="N43" s="292" t="s">
        <v>193</v>
      </c>
      <c r="O43" s="292">
        <v>2019</v>
      </c>
      <c r="P43" s="216">
        <v>580141.18000000005</v>
      </c>
      <c r="Q43" s="216">
        <v>493120</v>
      </c>
      <c r="R43" s="216">
        <v>0</v>
      </c>
      <c r="S43" s="216">
        <v>87021.18</v>
      </c>
    </row>
    <row r="44" spans="2:26" s="6" customFormat="1" ht="107.25" customHeight="1" x14ac:dyDescent="0.25">
      <c r="B44" s="207" t="s">
        <v>194</v>
      </c>
      <c r="C44" s="207" t="s">
        <v>195</v>
      </c>
      <c r="D44" s="207" t="s">
        <v>196</v>
      </c>
      <c r="E44" s="207" t="s">
        <v>186</v>
      </c>
      <c r="F44" s="207" t="s">
        <v>180</v>
      </c>
      <c r="G44" s="207" t="s">
        <v>187</v>
      </c>
      <c r="H44" s="207" t="s">
        <v>181</v>
      </c>
      <c r="I44" s="207" t="s">
        <v>64</v>
      </c>
      <c r="J44" s="207" t="s">
        <v>65</v>
      </c>
      <c r="K44" s="207" t="s">
        <v>87</v>
      </c>
      <c r="L44" s="207" t="s">
        <v>87</v>
      </c>
      <c r="M44" s="207" t="s">
        <v>66</v>
      </c>
      <c r="N44" s="292" t="s">
        <v>110</v>
      </c>
      <c r="O44" s="292">
        <v>2019</v>
      </c>
      <c r="P44" s="216">
        <v>629529.59</v>
      </c>
      <c r="Q44" s="216">
        <v>535100.15</v>
      </c>
      <c r="R44" s="216">
        <v>0</v>
      </c>
      <c r="S44" s="216">
        <f t="shared" si="7"/>
        <v>94429.439999999944</v>
      </c>
    </row>
    <row r="45" spans="2:26" s="6" customFormat="1" ht="81" customHeight="1" x14ac:dyDescent="0.25">
      <c r="B45" s="207" t="s">
        <v>197</v>
      </c>
      <c r="C45" s="207" t="s">
        <v>198</v>
      </c>
      <c r="D45" s="207" t="s">
        <v>199</v>
      </c>
      <c r="E45" s="207" t="s">
        <v>93</v>
      </c>
      <c r="F45" s="207" t="s">
        <v>180</v>
      </c>
      <c r="G45" s="207" t="s">
        <v>94</v>
      </c>
      <c r="H45" s="207" t="s">
        <v>181</v>
      </c>
      <c r="I45" s="207" t="s">
        <v>64</v>
      </c>
      <c r="J45" s="207" t="s">
        <v>65</v>
      </c>
      <c r="K45" s="207" t="s">
        <v>87</v>
      </c>
      <c r="L45" s="207" t="s">
        <v>87</v>
      </c>
      <c r="M45" s="207" t="s">
        <v>66</v>
      </c>
      <c r="N45" s="292" t="s">
        <v>200</v>
      </c>
      <c r="O45" s="292">
        <v>2019</v>
      </c>
      <c r="P45" s="216">
        <v>422480.42</v>
      </c>
      <c r="Q45" s="32">
        <v>356602.97</v>
      </c>
      <c r="R45" s="216">
        <v>0</v>
      </c>
      <c r="S45" s="216">
        <f>P45-Q45-R45</f>
        <v>65877.450000000012</v>
      </c>
      <c r="Y45" s="33"/>
      <c r="Z45" s="33"/>
    </row>
    <row r="46" spans="2:26" s="6" customFormat="1" ht="117.75" customHeight="1" x14ac:dyDescent="0.25">
      <c r="B46" s="207" t="s">
        <v>201</v>
      </c>
      <c r="C46" s="207" t="s">
        <v>202</v>
      </c>
      <c r="D46" s="207" t="s">
        <v>203</v>
      </c>
      <c r="E46" s="207" t="s">
        <v>152</v>
      </c>
      <c r="F46" s="207" t="s">
        <v>180</v>
      </c>
      <c r="G46" s="207" t="s">
        <v>204</v>
      </c>
      <c r="H46" s="207" t="s">
        <v>181</v>
      </c>
      <c r="I46" s="207" t="s">
        <v>64</v>
      </c>
      <c r="J46" s="207" t="s">
        <v>65</v>
      </c>
      <c r="K46" s="207" t="s">
        <v>87</v>
      </c>
      <c r="L46" s="207" t="s">
        <v>87</v>
      </c>
      <c r="M46" s="207" t="s">
        <v>66</v>
      </c>
      <c r="N46" s="292" t="s">
        <v>98</v>
      </c>
      <c r="O46" s="292">
        <v>2021</v>
      </c>
      <c r="P46" s="216">
        <v>944540.69</v>
      </c>
      <c r="Q46" s="216">
        <v>323969.08999999997</v>
      </c>
      <c r="R46" s="216">
        <v>0</v>
      </c>
      <c r="S46" s="216">
        <f t="shared" si="7"/>
        <v>620571.6</v>
      </c>
    </row>
    <row r="47" spans="2:26" s="6" customFormat="1" ht="84" customHeight="1" x14ac:dyDescent="0.25">
      <c r="B47" s="207" t="s">
        <v>205</v>
      </c>
      <c r="C47" s="207" t="s">
        <v>206</v>
      </c>
      <c r="D47" s="207" t="s">
        <v>207</v>
      </c>
      <c r="E47" s="207" t="s">
        <v>145</v>
      </c>
      <c r="F47" s="207" t="s">
        <v>180</v>
      </c>
      <c r="G47" s="207" t="s">
        <v>208</v>
      </c>
      <c r="H47" s="207" t="s">
        <v>181</v>
      </c>
      <c r="I47" s="207" t="s">
        <v>64</v>
      </c>
      <c r="J47" s="207" t="s">
        <v>65</v>
      </c>
      <c r="K47" s="207" t="s">
        <v>87</v>
      </c>
      <c r="L47" s="207" t="s">
        <v>87</v>
      </c>
      <c r="M47" s="207" t="s">
        <v>66</v>
      </c>
      <c r="N47" s="292" t="s">
        <v>209</v>
      </c>
      <c r="O47" s="292">
        <v>2020</v>
      </c>
      <c r="P47" s="216">
        <v>956722.11</v>
      </c>
      <c r="Q47" s="216">
        <v>759345.73</v>
      </c>
      <c r="R47" s="216">
        <v>0</v>
      </c>
      <c r="S47" s="216">
        <f t="shared" si="7"/>
        <v>197376.38</v>
      </c>
    </row>
    <row r="48" spans="2:26" s="6" customFormat="1" ht="102.75" customHeight="1" x14ac:dyDescent="0.25">
      <c r="B48" s="207" t="s">
        <v>210</v>
      </c>
      <c r="C48" s="207" t="s">
        <v>211</v>
      </c>
      <c r="D48" s="216" t="s">
        <v>212</v>
      </c>
      <c r="E48" s="216" t="s">
        <v>186</v>
      </c>
      <c r="F48" s="216" t="s">
        <v>180</v>
      </c>
      <c r="G48" s="216" t="s">
        <v>187</v>
      </c>
      <c r="H48" s="216" t="s">
        <v>181</v>
      </c>
      <c r="I48" s="216" t="s">
        <v>64</v>
      </c>
      <c r="J48" s="216" t="s">
        <v>65</v>
      </c>
      <c r="K48" s="207" t="s">
        <v>87</v>
      </c>
      <c r="L48" s="207" t="s">
        <v>87</v>
      </c>
      <c r="M48" s="207" t="s">
        <v>66</v>
      </c>
      <c r="N48" s="292" t="s">
        <v>189</v>
      </c>
      <c r="O48" s="292">
        <v>2021</v>
      </c>
      <c r="P48" s="293">
        <v>108426.93</v>
      </c>
      <c r="Q48" s="216">
        <v>87059.24</v>
      </c>
      <c r="R48" s="216">
        <v>0</v>
      </c>
      <c r="S48" s="216">
        <f t="shared" si="7"/>
        <v>21367.689999999988</v>
      </c>
    </row>
    <row r="49" spans="2:24" s="6" customFormat="1" ht="129" customHeight="1" x14ac:dyDescent="0.25">
      <c r="B49" s="35" t="s">
        <v>213</v>
      </c>
      <c r="C49" s="37" t="s">
        <v>214</v>
      </c>
      <c r="D49" s="37" t="s">
        <v>215</v>
      </c>
      <c r="E49" s="35" t="s">
        <v>60</v>
      </c>
      <c r="F49" s="35" t="s">
        <v>180</v>
      </c>
      <c r="G49" s="35" t="s">
        <v>73</v>
      </c>
      <c r="H49" s="35" t="s">
        <v>181</v>
      </c>
      <c r="I49" s="35" t="s">
        <v>64</v>
      </c>
      <c r="J49" s="35" t="s">
        <v>65</v>
      </c>
      <c r="K49" s="37" t="s">
        <v>87</v>
      </c>
      <c r="L49" s="37" t="s">
        <v>87</v>
      </c>
      <c r="M49" s="37" t="s">
        <v>66</v>
      </c>
      <c r="N49" s="36" t="s">
        <v>216</v>
      </c>
      <c r="O49" s="36">
        <v>2022</v>
      </c>
      <c r="P49" s="32">
        <v>347852.33</v>
      </c>
      <c r="Q49" s="32">
        <v>295674.48</v>
      </c>
      <c r="R49" s="32">
        <v>0</v>
      </c>
      <c r="S49" s="29">
        <f t="shared" si="7"/>
        <v>52177.850000000035</v>
      </c>
    </row>
    <row r="50" spans="2:24" s="6" customFormat="1" ht="67.5" customHeight="1" x14ac:dyDescent="0.25">
      <c r="B50" s="35" t="s">
        <v>217</v>
      </c>
      <c r="C50" s="35" t="s">
        <v>218</v>
      </c>
      <c r="D50" s="29" t="s">
        <v>219</v>
      </c>
      <c r="E50" s="29" t="s">
        <v>138</v>
      </c>
      <c r="F50" s="29" t="s">
        <v>180</v>
      </c>
      <c r="G50" s="29" t="s">
        <v>139</v>
      </c>
      <c r="H50" s="29" t="s">
        <v>181</v>
      </c>
      <c r="I50" s="29" t="s">
        <v>64</v>
      </c>
      <c r="J50" s="37" t="s">
        <v>65</v>
      </c>
      <c r="K50" s="37" t="s">
        <v>87</v>
      </c>
      <c r="L50" s="37" t="s">
        <v>87</v>
      </c>
      <c r="M50" s="37" t="s">
        <v>66</v>
      </c>
      <c r="N50" s="36" t="s">
        <v>88</v>
      </c>
      <c r="O50" s="36">
        <v>2020</v>
      </c>
      <c r="P50" s="32">
        <v>179266</v>
      </c>
      <c r="Q50" s="32">
        <v>152376.1</v>
      </c>
      <c r="R50" s="32">
        <v>0</v>
      </c>
      <c r="S50" s="29">
        <f t="shared" si="7"/>
        <v>26889.899999999994</v>
      </c>
    </row>
    <row r="51" spans="2:24" s="6" customFormat="1" ht="63.75" customHeight="1" x14ac:dyDescent="0.25">
      <c r="B51" s="35" t="s">
        <v>221</v>
      </c>
      <c r="C51" s="35" t="s">
        <v>222</v>
      </c>
      <c r="D51" s="29" t="s">
        <v>223</v>
      </c>
      <c r="E51" s="29" t="s">
        <v>138</v>
      </c>
      <c r="F51" s="29" t="s">
        <v>180</v>
      </c>
      <c r="G51" s="29" t="s">
        <v>139</v>
      </c>
      <c r="H51" s="29" t="s">
        <v>181</v>
      </c>
      <c r="I51" s="29" t="s">
        <v>64</v>
      </c>
      <c r="J51" s="29" t="s">
        <v>66</v>
      </c>
      <c r="K51" s="37" t="s">
        <v>87</v>
      </c>
      <c r="L51" s="37" t="s">
        <v>87</v>
      </c>
      <c r="M51" s="37" t="s">
        <v>66</v>
      </c>
      <c r="N51" s="36" t="s">
        <v>189</v>
      </c>
      <c r="O51" s="36">
        <v>2021</v>
      </c>
      <c r="P51" s="32">
        <v>229502.15</v>
      </c>
      <c r="Q51" s="32">
        <v>195076.83</v>
      </c>
      <c r="R51" s="32">
        <v>0</v>
      </c>
      <c r="S51" s="29">
        <f t="shared" si="7"/>
        <v>34425.320000000007</v>
      </c>
    </row>
    <row r="52" spans="2:24" s="6" customFormat="1" ht="76.5" customHeight="1" x14ac:dyDescent="0.25">
      <c r="B52" s="35" t="s">
        <v>224</v>
      </c>
      <c r="C52" s="35" t="s">
        <v>225</v>
      </c>
      <c r="D52" s="29" t="s">
        <v>226</v>
      </c>
      <c r="E52" s="29" t="s">
        <v>93</v>
      </c>
      <c r="F52" s="29" t="s">
        <v>180</v>
      </c>
      <c r="G52" s="29" t="s">
        <v>94</v>
      </c>
      <c r="H52" s="29" t="s">
        <v>181</v>
      </c>
      <c r="I52" s="29" t="s">
        <v>64</v>
      </c>
      <c r="J52" s="37" t="s">
        <v>66</v>
      </c>
      <c r="K52" s="37" t="s">
        <v>87</v>
      </c>
      <c r="L52" s="37" t="s">
        <v>87</v>
      </c>
      <c r="M52" s="37" t="s">
        <v>66</v>
      </c>
      <c r="N52" s="36" t="s">
        <v>1196</v>
      </c>
      <c r="O52" s="36">
        <v>2022</v>
      </c>
      <c r="P52" s="53">
        <f>Q52+R52+S52</f>
        <v>228947.49</v>
      </c>
      <c r="Q52" s="32">
        <v>160885.54999999999</v>
      </c>
      <c r="R52" s="32">
        <v>0</v>
      </c>
      <c r="S52" s="53">
        <v>68061.94</v>
      </c>
    </row>
    <row r="53" spans="2:24" s="6" customFormat="1" ht="76.5" customHeight="1" x14ac:dyDescent="0.25">
      <c r="B53" s="35" t="s">
        <v>1197</v>
      </c>
      <c r="C53" s="35" t="s">
        <v>1198</v>
      </c>
      <c r="D53" s="35" t="s">
        <v>1199</v>
      </c>
      <c r="E53" s="35" t="s">
        <v>186</v>
      </c>
      <c r="F53" s="35" t="s">
        <v>180</v>
      </c>
      <c r="G53" s="35" t="s">
        <v>187</v>
      </c>
      <c r="H53" s="35" t="s">
        <v>181</v>
      </c>
      <c r="I53" s="35" t="s">
        <v>64</v>
      </c>
      <c r="J53" s="42"/>
      <c r="K53" s="42"/>
      <c r="L53" s="42"/>
      <c r="M53" s="42"/>
      <c r="N53" s="36" t="s">
        <v>1200</v>
      </c>
      <c r="O53" s="36">
        <v>2021</v>
      </c>
      <c r="P53" s="53">
        <f>Q53+R53+S53</f>
        <v>296612</v>
      </c>
      <c r="Q53" s="53">
        <v>214303</v>
      </c>
      <c r="R53" s="32">
        <v>0</v>
      </c>
      <c r="S53" s="53">
        <v>82309</v>
      </c>
    </row>
    <row r="54" spans="2:24" s="6" customFormat="1" ht="145.5" customHeight="1" x14ac:dyDescent="0.25">
      <c r="B54" s="26" t="s">
        <v>227</v>
      </c>
      <c r="C54" s="26"/>
      <c r="D54" s="26" t="s">
        <v>228</v>
      </c>
      <c r="E54" s="26"/>
      <c r="F54" s="26"/>
      <c r="G54" s="26"/>
      <c r="H54" s="26"/>
      <c r="I54" s="26"/>
      <c r="J54" s="26"/>
      <c r="K54" s="26"/>
      <c r="L54" s="26"/>
      <c r="M54" s="26"/>
      <c r="N54" s="26"/>
      <c r="O54" s="26"/>
      <c r="P54" s="48"/>
      <c r="Q54" s="48"/>
      <c r="R54" s="48"/>
      <c r="S54" s="48"/>
    </row>
    <row r="55" spans="2:24" s="6" customFormat="1" ht="71.25" customHeight="1" x14ac:dyDescent="0.25">
      <c r="B55" s="27" t="s">
        <v>229</v>
      </c>
      <c r="C55" s="27"/>
      <c r="D55" s="27" t="s">
        <v>230</v>
      </c>
      <c r="E55" s="27"/>
      <c r="F55" s="27"/>
      <c r="G55" s="27"/>
      <c r="H55" s="27"/>
      <c r="I55" s="27"/>
      <c r="J55" s="27"/>
      <c r="K55" s="27"/>
      <c r="L55" s="27"/>
      <c r="M55" s="27"/>
      <c r="N55" s="27"/>
      <c r="O55" s="27"/>
      <c r="P55" s="279">
        <f>SUM(P56:P61)</f>
        <v>729764.49</v>
      </c>
      <c r="Q55" s="279">
        <f>SUM(Q56:Q61)</f>
        <v>407259</v>
      </c>
      <c r="R55" s="279">
        <f t="shared" ref="R55:S55" si="8">SUM(R56:R61)</f>
        <v>0</v>
      </c>
      <c r="S55" s="279">
        <f t="shared" si="8"/>
        <v>322505.49</v>
      </c>
    </row>
    <row r="56" spans="2:24" s="6" customFormat="1" ht="24" customHeight="1" x14ac:dyDescent="0.25">
      <c r="B56" s="35"/>
      <c r="C56" s="35"/>
      <c r="D56" s="32"/>
      <c r="E56" s="32"/>
      <c r="F56" s="32"/>
      <c r="G56" s="32"/>
      <c r="H56" s="32"/>
      <c r="I56" s="35"/>
      <c r="J56" s="35"/>
      <c r="K56" s="35"/>
      <c r="L56" s="35"/>
      <c r="M56" s="35"/>
      <c r="N56" s="36"/>
      <c r="O56" s="36"/>
      <c r="P56" s="32"/>
      <c r="Q56" s="32"/>
      <c r="R56" s="32"/>
      <c r="S56" s="29"/>
    </row>
    <row r="57" spans="2:24" s="6" customFormat="1" ht="156.75" customHeight="1" x14ac:dyDescent="0.25">
      <c r="B57" s="35" t="s">
        <v>232</v>
      </c>
      <c r="C57" s="35" t="s">
        <v>233</v>
      </c>
      <c r="D57" s="32" t="s">
        <v>234</v>
      </c>
      <c r="E57" s="32" t="s">
        <v>93</v>
      </c>
      <c r="F57" s="32" t="s">
        <v>180</v>
      </c>
      <c r="G57" s="32" t="s">
        <v>94</v>
      </c>
      <c r="H57" s="32" t="s">
        <v>231</v>
      </c>
      <c r="I57" s="35" t="s">
        <v>64</v>
      </c>
      <c r="J57" s="35" t="s">
        <v>65</v>
      </c>
      <c r="K57" s="35" t="s">
        <v>87</v>
      </c>
      <c r="L57" s="35" t="s">
        <v>87</v>
      </c>
      <c r="M57" s="35" t="s">
        <v>66</v>
      </c>
      <c r="N57" s="36" t="s">
        <v>209</v>
      </c>
      <c r="O57" s="36">
        <v>2020</v>
      </c>
      <c r="P57" s="32">
        <v>322662</v>
      </c>
      <c r="Q57" s="32">
        <v>165122</v>
      </c>
      <c r="R57" s="32">
        <v>0</v>
      </c>
      <c r="S57" s="32">
        <f t="shared" ref="S57:S59" si="9">P57-Q57-R57</f>
        <v>157540</v>
      </c>
    </row>
    <row r="58" spans="2:24" s="33" customFormat="1" ht="117.75" customHeight="1" x14ac:dyDescent="0.25">
      <c r="B58" s="35" t="s">
        <v>237</v>
      </c>
      <c r="C58" s="35" t="s">
        <v>238</v>
      </c>
      <c r="D58" s="32" t="s">
        <v>239</v>
      </c>
      <c r="E58" s="32" t="s">
        <v>152</v>
      </c>
      <c r="F58" s="32" t="s">
        <v>180</v>
      </c>
      <c r="G58" s="32" t="s">
        <v>153</v>
      </c>
      <c r="H58" s="32" t="s">
        <v>231</v>
      </c>
      <c r="I58" s="35" t="s">
        <v>64</v>
      </c>
      <c r="J58" s="35" t="s">
        <v>65</v>
      </c>
      <c r="K58" s="35" t="s">
        <v>87</v>
      </c>
      <c r="L58" s="35" t="s">
        <v>87</v>
      </c>
      <c r="M58" s="35" t="s">
        <v>66</v>
      </c>
      <c r="N58" s="36" t="s">
        <v>182</v>
      </c>
      <c r="O58" s="36">
        <v>2020</v>
      </c>
      <c r="P58" s="32">
        <v>131687.24</v>
      </c>
      <c r="Q58" s="32">
        <v>71645</v>
      </c>
      <c r="R58" s="32">
        <v>0</v>
      </c>
      <c r="S58" s="29">
        <f t="shared" si="9"/>
        <v>60042.239999999991</v>
      </c>
      <c r="T58" s="6"/>
      <c r="U58" s="6"/>
      <c r="V58" s="6"/>
      <c r="W58" s="6"/>
      <c r="X58" s="6"/>
    </row>
    <row r="59" spans="2:24" s="6" customFormat="1" ht="102.75" customHeight="1" x14ac:dyDescent="0.25">
      <c r="B59" s="207" t="s">
        <v>240</v>
      </c>
      <c r="C59" s="207" t="s">
        <v>241</v>
      </c>
      <c r="D59" s="216" t="s">
        <v>242</v>
      </c>
      <c r="E59" s="216" t="s">
        <v>102</v>
      </c>
      <c r="F59" s="216" t="s">
        <v>243</v>
      </c>
      <c r="G59" s="216" t="s">
        <v>103</v>
      </c>
      <c r="H59" s="216" t="s">
        <v>231</v>
      </c>
      <c r="I59" s="207" t="s">
        <v>86</v>
      </c>
      <c r="J59" s="207" t="s">
        <v>30</v>
      </c>
      <c r="K59" s="207" t="s">
        <v>87</v>
      </c>
      <c r="L59" s="207" t="s">
        <v>87</v>
      </c>
      <c r="M59" s="207" t="s">
        <v>66</v>
      </c>
      <c r="N59" s="292" t="s">
        <v>182</v>
      </c>
      <c r="O59" s="292">
        <v>2020</v>
      </c>
      <c r="P59" s="216">
        <v>124320.76</v>
      </c>
      <c r="Q59" s="216">
        <v>71285</v>
      </c>
      <c r="R59" s="216">
        <v>0</v>
      </c>
      <c r="S59" s="216">
        <f t="shared" si="9"/>
        <v>53035.759999999995</v>
      </c>
    </row>
    <row r="60" spans="2:24" s="6" customFormat="1" ht="102.75" customHeight="1" x14ac:dyDescent="0.25">
      <c r="B60" s="35" t="s">
        <v>1201</v>
      </c>
      <c r="C60" s="35" t="s">
        <v>1202</v>
      </c>
      <c r="D60" s="32" t="s">
        <v>1203</v>
      </c>
      <c r="E60" s="32" t="s">
        <v>186</v>
      </c>
      <c r="F60" s="32" t="s">
        <v>243</v>
      </c>
      <c r="G60" s="32" t="s">
        <v>103</v>
      </c>
      <c r="H60" s="32" t="s">
        <v>231</v>
      </c>
      <c r="I60" s="35" t="s">
        <v>86</v>
      </c>
      <c r="J60" s="35" t="s">
        <v>87</v>
      </c>
      <c r="K60" s="35" t="s">
        <v>87</v>
      </c>
      <c r="L60" s="35" t="s">
        <v>87</v>
      </c>
      <c r="M60" s="35" t="s">
        <v>66</v>
      </c>
      <c r="N60" s="36" t="s">
        <v>1204</v>
      </c>
      <c r="O60" s="36">
        <v>2021</v>
      </c>
      <c r="P60" s="32">
        <f>Q60+R60+S60</f>
        <v>48964</v>
      </c>
      <c r="Q60" s="32">
        <v>41619</v>
      </c>
      <c r="R60" s="32">
        <v>0</v>
      </c>
      <c r="S60" s="32">
        <v>7345</v>
      </c>
    </row>
    <row r="61" spans="2:24" s="6" customFormat="1" ht="120" customHeight="1" x14ac:dyDescent="0.25">
      <c r="B61" s="35" t="s">
        <v>1205</v>
      </c>
      <c r="C61" s="35" t="s">
        <v>1206</v>
      </c>
      <c r="D61" s="32" t="s">
        <v>1207</v>
      </c>
      <c r="E61" s="32" t="s">
        <v>93</v>
      </c>
      <c r="F61" s="32" t="s">
        <v>243</v>
      </c>
      <c r="G61" s="32" t="s">
        <v>93</v>
      </c>
      <c r="H61" s="32" t="s">
        <v>231</v>
      </c>
      <c r="I61" s="35" t="s">
        <v>86</v>
      </c>
      <c r="J61" s="35" t="s">
        <v>87</v>
      </c>
      <c r="K61" s="35" t="s">
        <v>87</v>
      </c>
      <c r="L61" s="35" t="s">
        <v>87</v>
      </c>
      <c r="M61" s="35" t="s">
        <v>87</v>
      </c>
      <c r="N61" s="36">
        <v>2020</v>
      </c>
      <c r="O61" s="36">
        <v>2021</v>
      </c>
      <c r="P61" s="32">
        <f>Q61+R61+S61</f>
        <v>102130.48999999999</v>
      </c>
      <c r="Q61" s="32">
        <v>57588</v>
      </c>
      <c r="R61" s="32">
        <v>0</v>
      </c>
      <c r="S61" s="32">
        <v>44542.49</v>
      </c>
    </row>
    <row r="62" spans="2:24" s="6" customFormat="1" ht="68.25" customHeight="1" x14ac:dyDescent="0.25">
      <c r="B62" s="27" t="s">
        <v>244</v>
      </c>
      <c r="C62" s="27"/>
      <c r="D62" s="27" t="s">
        <v>245</v>
      </c>
      <c r="E62" s="27"/>
      <c r="F62" s="27"/>
      <c r="G62" s="27"/>
      <c r="H62" s="27"/>
      <c r="I62" s="27"/>
      <c r="J62" s="27"/>
      <c r="K62" s="27"/>
      <c r="L62" s="27"/>
      <c r="M62" s="27"/>
      <c r="N62" s="27"/>
      <c r="O62" s="27"/>
      <c r="P62" s="279">
        <f>Q62+R62+S62</f>
        <v>1608793.06</v>
      </c>
      <c r="Q62" s="279">
        <f>Q64+Q65+Q66+Q67</f>
        <v>1333052</v>
      </c>
      <c r="R62" s="279">
        <f t="shared" ref="R62:S62" si="10">R64+R65+R66+R67</f>
        <v>0</v>
      </c>
      <c r="S62" s="279">
        <f t="shared" si="10"/>
        <v>275741.06</v>
      </c>
    </row>
    <row r="63" spans="2:24" s="6" customFormat="1" ht="15.75" customHeight="1" x14ac:dyDescent="0.25">
      <c r="B63" s="35"/>
      <c r="C63" s="35"/>
      <c r="D63" s="29"/>
      <c r="E63" s="29"/>
      <c r="F63" s="29"/>
      <c r="G63" s="29"/>
      <c r="H63" s="29"/>
      <c r="I63" s="35"/>
      <c r="J63" s="35"/>
      <c r="K63" s="35"/>
      <c r="L63" s="35"/>
      <c r="M63" s="35"/>
      <c r="N63" s="36"/>
      <c r="O63" s="36"/>
      <c r="P63" s="32"/>
      <c r="Q63" s="32"/>
      <c r="R63" s="32"/>
      <c r="S63" s="29"/>
    </row>
    <row r="64" spans="2:24" s="33" customFormat="1" ht="53.25" customHeight="1" x14ac:dyDescent="0.25">
      <c r="B64" s="35" t="s">
        <v>246</v>
      </c>
      <c r="C64" s="35" t="s">
        <v>247</v>
      </c>
      <c r="D64" s="32" t="s">
        <v>248</v>
      </c>
      <c r="E64" s="32" t="s">
        <v>145</v>
      </c>
      <c r="F64" s="32" t="s">
        <v>180</v>
      </c>
      <c r="G64" s="32" t="s">
        <v>208</v>
      </c>
      <c r="H64" s="32" t="s">
        <v>249</v>
      </c>
      <c r="I64" s="35" t="s">
        <v>148</v>
      </c>
      <c r="J64" s="35" t="s">
        <v>65</v>
      </c>
      <c r="K64" s="35" t="s">
        <v>87</v>
      </c>
      <c r="L64" s="35" t="s">
        <v>87</v>
      </c>
      <c r="M64" s="35" t="s">
        <v>66</v>
      </c>
      <c r="N64" s="36" t="s">
        <v>67</v>
      </c>
      <c r="O64" s="36">
        <v>2017</v>
      </c>
      <c r="P64" s="32">
        <v>20000</v>
      </c>
      <c r="Q64" s="32">
        <v>17000</v>
      </c>
      <c r="R64" s="32">
        <v>0</v>
      </c>
      <c r="S64" s="29">
        <f t="shared" ref="S64:S66" si="11">P64-Q64-R64</f>
        <v>3000</v>
      </c>
      <c r="T64" s="6"/>
      <c r="U64" s="6"/>
      <c r="V64" s="6"/>
      <c r="W64" s="6"/>
      <c r="X64" s="6"/>
    </row>
    <row r="65" spans="2:24" s="33" customFormat="1" ht="78" customHeight="1" x14ac:dyDescent="0.25">
      <c r="B65" s="207" t="s">
        <v>250</v>
      </c>
      <c r="C65" s="207" t="s">
        <v>251</v>
      </c>
      <c r="D65" s="216" t="s">
        <v>252</v>
      </c>
      <c r="E65" s="216" t="s">
        <v>145</v>
      </c>
      <c r="F65" s="216" t="s">
        <v>180</v>
      </c>
      <c r="G65" s="216" t="s">
        <v>146</v>
      </c>
      <c r="H65" s="216" t="s">
        <v>253</v>
      </c>
      <c r="I65" s="207" t="s">
        <v>64</v>
      </c>
      <c r="J65" s="207" t="s">
        <v>65</v>
      </c>
      <c r="K65" s="207" t="s">
        <v>87</v>
      </c>
      <c r="L65" s="207" t="s">
        <v>87</v>
      </c>
      <c r="M65" s="207" t="s">
        <v>66</v>
      </c>
      <c r="N65" s="292">
        <v>2020</v>
      </c>
      <c r="O65" s="292">
        <v>2022</v>
      </c>
      <c r="P65" s="216">
        <v>900306</v>
      </c>
      <c r="Q65" s="216">
        <v>730838</v>
      </c>
      <c r="R65" s="216">
        <v>0</v>
      </c>
      <c r="S65" s="216">
        <f t="shared" si="11"/>
        <v>169468</v>
      </c>
      <c r="T65" s="6"/>
      <c r="U65" s="6"/>
      <c r="V65" s="6"/>
      <c r="W65" s="6"/>
      <c r="X65" s="6"/>
    </row>
    <row r="66" spans="2:24" s="33" customFormat="1" ht="62.25" customHeight="1" x14ac:dyDescent="0.25">
      <c r="B66" s="35" t="s">
        <v>254</v>
      </c>
      <c r="C66" s="32" t="s">
        <v>255</v>
      </c>
      <c r="D66" s="32" t="s">
        <v>256</v>
      </c>
      <c r="E66" s="32" t="s">
        <v>152</v>
      </c>
      <c r="F66" s="32" t="s">
        <v>180</v>
      </c>
      <c r="G66" s="32" t="s">
        <v>204</v>
      </c>
      <c r="H66" s="32" t="s">
        <v>257</v>
      </c>
      <c r="I66" s="32" t="s">
        <v>148</v>
      </c>
      <c r="J66" s="35" t="s">
        <v>66</v>
      </c>
      <c r="K66" s="35" t="s">
        <v>87</v>
      </c>
      <c r="L66" s="35" t="s">
        <v>87</v>
      </c>
      <c r="M66" s="35" t="s">
        <v>66</v>
      </c>
      <c r="N66" s="31" t="s">
        <v>78</v>
      </c>
      <c r="O66" s="32">
        <v>2017</v>
      </c>
      <c r="P66" s="32">
        <v>15700</v>
      </c>
      <c r="Q66" s="32">
        <v>13345</v>
      </c>
      <c r="R66" s="32">
        <v>0</v>
      </c>
      <c r="S66" s="29">
        <f t="shared" si="11"/>
        <v>2355</v>
      </c>
      <c r="T66" s="6"/>
      <c r="U66" s="6"/>
      <c r="V66" s="6"/>
      <c r="W66" s="6"/>
      <c r="X66" s="6"/>
    </row>
    <row r="67" spans="2:24" s="33" customFormat="1" ht="65.25" customHeight="1" x14ac:dyDescent="0.25">
      <c r="B67" s="35" t="s">
        <v>258</v>
      </c>
      <c r="C67" s="35" t="s">
        <v>1465</v>
      </c>
      <c r="D67" s="32" t="s">
        <v>1209</v>
      </c>
      <c r="E67" s="32" t="s">
        <v>152</v>
      </c>
      <c r="F67" s="32" t="s">
        <v>180</v>
      </c>
      <c r="G67" s="32" t="s">
        <v>204</v>
      </c>
      <c r="H67" s="32" t="s">
        <v>253</v>
      </c>
      <c r="I67" s="35" t="s">
        <v>64</v>
      </c>
      <c r="J67" s="35" t="s">
        <v>66</v>
      </c>
      <c r="K67" s="35" t="s">
        <v>87</v>
      </c>
      <c r="L67" s="35" t="s">
        <v>87</v>
      </c>
      <c r="M67" s="35" t="s">
        <v>66</v>
      </c>
      <c r="N67" s="36">
        <v>2021</v>
      </c>
      <c r="O67" s="36">
        <v>2022</v>
      </c>
      <c r="P67" s="53">
        <f>Q67+S67</f>
        <v>672787.06</v>
      </c>
      <c r="Q67" s="32">
        <v>571869</v>
      </c>
      <c r="R67" s="32"/>
      <c r="S67" s="53">
        <v>100918.06</v>
      </c>
      <c r="T67" s="6"/>
      <c r="U67" s="6"/>
      <c r="V67" s="6"/>
      <c r="W67" s="6"/>
      <c r="X67" s="6"/>
    </row>
    <row r="68" spans="2:24" s="6" customFormat="1" ht="111" customHeight="1" x14ac:dyDescent="0.25">
      <c r="B68" s="27" t="s">
        <v>259</v>
      </c>
      <c r="C68" s="27"/>
      <c r="D68" s="27" t="s">
        <v>260</v>
      </c>
      <c r="E68" s="27"/>
      <c r="F68" s="27"/>
      <c r="G68" s="27"/>
      <c r="H68" s="27"/>
      <c r="I68" s="27"/>
      <c r="J68" s="27"/>
      <c r="K68" s="27"/>
      <c r="L68" s="27"/>
      <c r="M68" s="27"/>
      <c r="N68" s="27"/>
      <c r="O68" s="27"/>
      <c r="P68" s="279">
        <f>Q68+R68+S68</f>
        <v>1191647</v>
      </c>
      <c r="Q68" s="279">
        <f>Q69</f>
        <v>1012900</v>
      </c>
      <c r="R68" s="279">
        <f t="shared" ref="R68:S68" si="12">R69</f>
        <v>0</v>
      </c>
      <c r="S68" s="279">
        <f t="shared" si="12"/>
        <v>178747</v>
      </c>
    </row>
    <row r="69" spans="2:24" s="6" customFormat="1" ht="114" customHeight="1" x14ac:dyDescent="0.25">
      <c r="B69" s="35" t="s">
        <v>261</v>
      </c>
      <c r="C69" s="35" t="s">
        <v>262</v>
      </c>
      <c r="D69" s="35" t="s">
        <v>263</v>
      </c>
      <c r="E69" s="35" t="s">
        <v>152</v>
      </c>
      <c r="F69" s="35" t="s">
        <v>180</v>
      </c>
      <c r="G69" s="35" t="s">
        <v>204</v>
      </c>
      <c r="H69" s="35" t="s">
        <v>264</v>
      </c>
      <c r="I69" s="35" t="s">
        <v>64</v>
      </c>
      <c r="J69" s="35" t="s">
        <v>66</v>
      </c>
      <c r="K69" s="35" t="s">
        <v>87</v>
      </c>
      <c r="L69" s="35" t="s">
        <v>87</v>
      </c>
      <c r="M69" s="35" t="s">
        <v>66</v>
      </c>
      <c r="N69" s="35" t="s">
        <v>189</v>
      </c>
      <c r="O69" s="35">
        <v>2021</v>
      </c>
      <c r="P69" s="32">
        <v>1191647</v>
      </c>
      <c r="Q69" s="32">
        <v>1012900</v>
      </c>
      <c r="R69" s="32">
        <v>0</v>
      </c>
      <c r="S69" s="32">
        <v>178747</v>
      </c>
    </row>
    <row r="70" spans="2:24" s="6" customFormat="1" ht="105.75" customHeight="1" x14ac:dyDescent="0.25">
      <c r="B70" s="21" t="s">
        <v>265</v>
      </c>
      <c r="C70" s="21"/>
      <c r="D70" s="21" t="s">
        <v>266</v>
      </c>
      <c r="E70" s="21"/>
      <c r="F70" s="21"/>
      <c r="G70" s="21"/>
      <c r="H70" s="21"/>
      <c r="I70" s="21"/>
      <c r="J70" s="21"/>
      <c r="K70" s="21"/>
      <c r="L70" s="21"/>
      <c r="M70" s="21"/>
      <c r="N70" s="21"/>
      <c r="O70" s="21"/>
      <c r="P70" s="87"/>
      <c r="Q70" s="87"/>
      <c r="R70" s="87"/>
      <c r="S70" s="87"/>
    </row>
    <row r="71" spans="2:24" s="6" customFormat="1" ht="79.5" customHeight="1" x14ac:dyDescent="0.25">
      <c r="B71" s="22" t="s">
        <v>267</v>
      </c>
      <c r="C71" s="23"/>
      <c r="D71" s="24" t="s">
        <v>268</v>
      </c>
      <c r="E71" s="23"/>
      <c r="F71" s="22"/>
      <c r="G71" s="23"/>
      <c r="H71" s="24"/>
      <c r="I71" s="23"/>
      <c r="J71" s="22"/>
      <c r="K71" s="22"/>
      <c r="L71" s="23"/>
      <c r="M71" s="23"/>
      <c r="N71" s="23"/>
      <c r="O71" s="22"/>
      <c r="P71" s="51"/>
      <c r="Q71" s="52"/>
      <c r="R71" s="88"/>
      <c r="S71" s="88"/>
    </row>
    <row r="72" spans="2:24" s="6" customFormat="1" ht="119.25" customHeight="1" x14ac:dyDescent="0.25">
      <c r="B72" s="26" t="s">
        <v>269</v>
      </c>
      <c r="C72" s="26"/>
      <c r="D72" s="26" t="s">
        <v>270</v>
      </c>
      <c r="E72" s="26"/>
      <c r="F72" s="26"/>
      <c r="G72" s="26"/>
      <c r="H72" s="26"/>
      <c r="I72" s="26"/>
      <c r="J72" s="26"/>
      <c r="K72" s="26"/>
      <c r="L72" s="26"/>
      <c r="M72" s="26"/>
      <c r="N72" s="26"/>
      <c r="O72" s="26"/>
      <c r="P72" s="48"/>
      <c r="Q72" s="48"/>
      <c r="R72" s="48"/>
      <c r="S72" s="48"/>
    </row>
    <row r="73" spans="2:24" s="6" customFormat="1" ht="84" customHeight="1" x14ac:dyDescent="0.25">
      <c r="B73" s="27" t="s">
        <v>271</v>
      </c>
      <c r="C73" s="27"/>
      <c r="D73" s="27" t="s">
        <v>272</v>
      </c>
      <c r="E73" s="27"/>
      <c r="F73" s="27"/>
      <c r="G73" s="27"/>
      <c r="H73" s="27"/>
      <c r="I73" s="27"/>
      <c r="J73" s="27"/>
      <c r="K73" s="27"/>
      <c r="L73" s="27"/>
      <c r="M73" s="27"/>
      <c r="N73" s="27"/>
      <c r="O73" s="27"/>
      <c r="P73" s="279">
        <f>P74+P75+P76+P77</f>
        <v>1393592.9300000002</v>
      </c>
      <c r="Q73" s="279">
        <f t="shared" ref="Q73:S73" si="13">Q74+Q75+Q76+Q77</f>
        <v>1105749.48</v>
      </c>
      <c r="R73" s="279">
        <f t="shared" si="13"/>
        <v>0</v>
      </c>
      <c r="S73" s="279">
        <f t="shared" si="13"/>
        <v>287843.45000000007</v>
      </c>
    </row>
    <row r="74" spans="2:24" s="6" customFormat="1" ht="90" customHeight="1" x14ac:dyDescent="0.25">
      <c r="B74" s="35" t="s">
        <v>273</v>
      </c>
      <c r="C74" s="35" t="s">
        <v>274</v>
      </c>
      <c r="D74" s="29" t="s">
        <v>275</v>
      </c>
      <c r="E74" s="29" t="s">
        <v>60</v>
      </c>
      <c r="F74" s="29" t="s">
        <v>276</v>
      </c>
      <c r="G74" s="29" t="s">
        <v>62</v>
      </c>
      <c r="H74" s="29" t="s">
        <v>277</v>
      </c>
      <c r="I74" s="35" t="s">
        <v>64</v>
      </c>
      <c r="J74" s="35" t="s">
        <v>65</v>
      </c>
      <c r="K74" s="35" t="s">
        <v>87</v>
      </c>
      <c r="L74" s="35" t="s">
        <v>87</v>
      </c>
      <c r="M74" s="35" t="s">
        <v>66</v>
      </c>
      <c r="N74" s="36" t="s">
        <v>278</v>
      </c>
      <c r="O74" s="36">
        <v>2019</v>
      </c>
      <c r="P74" s="32">
        <v>493252.18</v>
      </c>
      <c r="Q74" s="32">
        <v>419264.35</v>
      </c>
      <c r="R74" s="32">
        <v>0</v>
      </c>
      <c r="S74" s="29">
        <f t="shared" ref="S74:S77" si="14">P74-Q74-R74</f>
        <v>73987.830000000016</v>
      </c>
    </row>
    <row r="75" spans="2:24" s="6" customFormat="1" ht="90" customHeight="1" x14ac:dyDescent="0.25">
      <c r="B75" s="35" t="s">
        <v>279</v>
      </c>
      <c r="C75" s="35" t="s">
        <v>280</v>
      </c>
      <c r="D75" s="32" t="s">
        <v>281</v>
      </c>
      <c r="E75" s="32" t="s">
        <v>282</v>
      </c>
      <c r="F75" s="32" t="s">
        <v>283</v>
      </c>
      <c r="G75" s="32" t="s">
        <v>284</v>
      </c>
      <c r="H75" s="32" t="s">
        <v>277</v>
      </c>
      <c r="I75" s="35" t="s">
        <v>86</v>
      </c>
      <c r="J75" s="35" t="s">
        <v>30</v>
      </c>
      <c r="K75" s="35" t="s">
        <v>87</v>
      </c>
      <c r="L75" s="35" t="s">
        <v>87</v>
      </c>
      <c r="M75" s="35" t="s">
        <v>66</v>
      </c>
      <c r="N75" s="36" t="s">
        <v>285</v>
      </c>
      <c r="O75" s="36">
        <v>2019</v>
      </c>
      <c r="P75" s="32">
        <v>212596.85</v>
      </c>
      <c r="Q75" s="32">
        <v>180707.32</v>
      </c>
      <c r="R75" s="32">
        <v>0</v>
      </c>
      <c r="S75" s="32">
        <v>31889.53</v>
      </c>
    </row>
    <row r="76" spans="2:24" s="6" customFormat="1" ht="116.25" customHeight="1" x14ac:dyDescent="0.25">
      <c r="B76" s="35" t="s">
        <v>286</v>
      </c>
      <c r="C76" s="35" t="s">
        <v>287</v>
      </c>
      <c r="D76" s="29" t="s">
        <v>288</v>
      </c>
      <c r="E76" s="29" t="s">
        <v>93</v>
      </c>
      <c r="F76" s="29" t="s">
        <v>276</v>
      </c>
      <c r="G76" s="29" t="s">
        <v>289</v>
      </c>
      <c r="H76" s="29" t="s">
        <v>277</v>
      </c>
      <c r="I76" s="35" t="s">
        <v>64</v>
      </c>
      <c r="J76" s="35" t="s">
        <v>66</v>
      </c>
      <c r="K76" s="35" t="s">
        <v>87</v>
      </c>
      <c r="L76" s="35" t="s">
        <v>87</v>
      </c>
      <c r="M76" s="35" t="s">
        <v>66</v>
      </c>
      <c r="N76" s="36" t="s">
        <v>74</v>
      </c>
      <c r="O76" s="36">
        <v>2019</v>
      </c>
      <c r="P76" s="32">
        <v>270483.15000000002</v>
      </c>
      <c r="Q76" s="32">
        <v>221058</v>
      </c>
      <c r="R76" s="32">
        <v>0</v>
      </c>
      <c r="S76" s="29">
        <f t="shared" si="14"/>
        <v>49425.150000000023</v>
      </c>
    </row>
    <row r="77" spans="2:24" s="6" customFormat="1" ht="69" customHeight="1" x14ac:dyDescent="0.25">
      <c r="B77" s="35" t="s">
        <v>290</v>
      </c>
      <c r="C77" s="35" t="s">
        <v>291</v>
      </c>
      <c r="D77" s="32" t="s">
        <v>292</v>
      </c>
      <c r="E77" s="32" t="s">
        <v>186</v>
      </c>
      <c r="F77" s="32" t="s">
        <v>276</v>
      </c>
      <c r="G77" s="32" t="s">
        <v>187</v>
      </c>
      <c r="H77" s="32" t="s">
        <v>293</v>
      </c>
      <c r="I77" s="35" t="s">
        <v>64</v>
      </c>
      <c r="J77" s="35" t="s">
        <v>66</v>
      </c>
      <c r="K77" s="35" t="s">
        <v>87</v>
      </c>
      <c r="L77" s="35" t="s">
        <v>87</v>
      </c>
      <c r="M77" s="35" t="s">
        <v>66</v>
      </c>
      <c r="N77" s="36" t="s">
        <v>74</v>
      </c>
      <c r="O77" s="36">
        <v>2019</v>
      </c>
      <c r="P77" s="32">
        <v>417260.75</v>
      </c>
      <c r="Q77" s="32">
        <v>284719.81</v>
      </c>
      <c r="R77" s="32">
        <v>0</v>
      </c>
      <c r="S77" s="29">
        <f t="shared" si="14"/>
        <v>132540.94</v>
      </c>
    </row>
    <row r="78" spans="2:24" s="6" customFormat="1" ht="147.75" customHeight="1" x14ac:dyDescent="0.25">
      <c r="B78" s="26" t="s">
        <v>294</v>
      </c>
      <c r="C78" s="26"/>
      <c r="D78" s="26" t="s">
        <v>295</v>
      </c>
      <c r="E78" s="26"/>
      <c r="F78" s="26"/>
      <c r="G78" s="26"/>
      <c r="H78" s="26"/>
      <c r="I78" s="26"/>
      <c r="J78" s="26"/>
      <c r="K78" s="26"/>
      <c r="L78" s="26"/>
      <c r="M78" s="26"/>
      <c r="N78" s="26"/>
      <c r="O78" s="26"/>
      <c r="P78" s="48"/>
      <c r="Q78" s="48"/>
      <c r="R78" s="48"/>
      <c r="S78" s="48"/>
    </row>
    <row r="79" spans="2:24" s="6" customFormat="1" ht="147" customHeight="1" x14ac:dyDescent="0.25">
      <c r="B79" s="27" t="s">
        <v>296</v>
      </c>
      <c r="C79" s="27"/>
      <c r="D79" s="27" t="s">
        <v>297</v>
      </c>
      <c r="E79" s="27"/>
      <c r="F79" s="27"/>
      <c r="G79" s="27"/>
      <c r="H79" s="27"/>
      <c r="I79" s="27"/>
      <c r="J79" s="27"/>
      <c r="K79" s="27"/>
      <c r="L79" s="27"/>
      <c r="M79" s="27"/>
      <c r="N79" s="27"/>
      <c r="O79" s="27"/>
      <c r="P79" s="279">
        <f>P80+P81+P82</f>
        <v>971293.24000000011</v>
      </c>
      <c r="Q79" s="279">
        <f>Q80+Q81+Q82</f>
        <v>825598.65</v>
      </c>
      <c r="R79" s="279">
        <f t="shared" ref="R79:S79" si="15">R80+R81+R82</f>
        <v>0</v>
      </c>
      <c r="S79" s="279">
        <f t="shared" si="15"/>
        <v>145694.59000000003</v>
      </c>
    </row>
    <row r="80" spans="2:24" s="6" customFormat="1" ht="112.5" customHeight="1" x14ac:dyDescent="0.25">
      <c r="B80" s="35" t="s">
        <v>300</v>
      </c>
      <c r="C80" s="35" t="s">
        <v>301</v>
      </c>
      <c r="D80" s="32" t="s">
        <v>302</v>
      </c>
      <c r="E80" s="32" t="s">
        <v>138</v>
      </c>
      <c r="F80" s="32" t="s">
        <v>298</v>
      </c>
      <c r="G80" s="32" t="s">
        <v>303</v>
      </c>
      <c r="H80" s="32" t="s">
        <v>299</v>
      </c>
      <c r="I80" s="35" t="s">
        <v>86</v>
      </c>
      <c r="J80" s="35" t="s">
        <v>66</v>
      </c>
      <c r="K80" s="35" t="s">
        <v>87</v>
      </c>
      <c r="L80" s="35" t="s">
        <v>87</v>
      </c>
      <c r="M80" s="35" t="s">
        <v>66</v>
      </c>
      <c r="N80" s="36" t="s">
        <v>98</v>
      </c>
      <c r="O80" s="36">
        <v>2021</v>
      </c>
      <c r="P80" s="32">
        <v>332497.71000000002</v>
      </c>
      <c r="Q80" s="32">
        <v>282623.05</v>
      </c>
      <c r="R80" s="32">
        <v>0</v>
      </c>
      <c r="S80" s="29">
        <f t="shared" ref="S80" si="16">P80-Q80-R80</f>
        <v>49874.660000000033</v>
      </c>
    </row>
    <row r="81" spans="1:24" s="6" customFormat="1" ht="66.75" customHeight="1" x14ac:dyDescent="0.25">
      <c r="B81" s="35" t="s">
        <v>1210</v>
      </c>
      <c r="C81" s="35" t="s">
        <v>1211</v>
      </c>
      <c r="D81" s="32" t="s">
        <v>1212</v>
      </c>
      <c r="E81" s="32" t="s">
        <v>1213</v>
      </c>
      <c r="F81" s="32" t="s">
        <v>298</v>
      </c>
      <c r="G81" s="32" t="s">
        <v>1214</v>
      </c>
      <c r="H81" s="32" t="s">
        <v>299</v>
      </c>
      <c r="I81" s="35" t="s">
        <v>86</v>
      </c>
      <c r="J81" s="35" t="s">
        <v>66</v>
      </c>
      <c r="K81" s="35" t="s">
        <v>87</v>
      </c>
      <c r="L81" s="35" t="s">
        <v>87</v>
      </c>
      <c r="M81" s="35" t="s">
        <v>66</v>
      </c>
      <c r="N81" s="36" t="s">
        <v>1204</v>
      </c>
      <c r="O81" s="36">
        <v>2022</v>
      </c>
      <c r="P81" s="32">
        <f>Q81+R81+S81</f>
        <v>340463.14</v>
      </c>
      <c r="Q81" s="32">
        <v>289393.07</v>
      </c>
      <c r="R81" s="32">
        <v>0</v>
      </c>
      <c r="S81" s="32">
        <v>51070.07</v>
      </c>
    </row>
    <row r="82" spans="1:24" s="6" customFormat="1" ht="128.25" customHeight="1" x14ac:dyDescent="0.25">
      <c r="B82" s="35" t="s">
        <v>1215</v>
      </c>
      <c r="C82" s="35" t="s">
        <v>1216</v>
      </c>
      <c r="D82" s="32" t="s">
        <v>1217</v>
      </c>
      <c r="E82" s="32" t="s">
        <v>152</v>
      </c>
      <c r="F82" s="32" t="s">
        <v>1218</v>
      </c>
      <c r="G82" s="32" t="s">
        <v>1219</v>
      </c>
      <c r="H82" s="32" t="s">
        <v>299</v>
      </c>
      <c r="I82" s="35" t="s">
        <v>86</v>
      </c>
      <c r="J82" s="35" t="s">
        <v>66</v>
      </c>
      <c r="K82" s="35" t="s">
        <v>87</v>
      </c>
      <c r="L82" s="35" t="s">
        <v>87</v>
      </c>
      <c r="M82" s="35" t="s">
        <v>66</v>
      </c>
      <c r="N82" s="36" t="s">
        <v>1220</v>
      </c>
      <c r="O82" s="36">
        <v>2022</v>
      </c>
      <c r="P82" s="32">
        <f>Q82+S82</f>
        <v>298332.39</v>
      </c>
      <c r="Q82" s="32">
        <v>253582.53</v>
      </c>
      <c r="R82" s="32">
        <v>0</v>
      </c>
      <c r="S82" s="32">
        <v>44749.86</v>
      </c>
    </row>
    <row r="83" spans="1:24" s="6" customFormat="1" ht="68.25" customHeight="1" x14ac:dyDescent="0.25">
      <c r="B83" s="67" t="s">
        <v>304</v>
      </c>
      <c r="C83" s="67"/>
      <c r="D83" s="67" t="s">
        <v>1488</v>
      </c>
      <c r="E83" s="67"/>
      <c r="F83" s="67"/>
      <c r="G83" s="67"/>
      <c r="H83" s="67"/>
      <c r="I83" s="67"/>
      <c r="J83" s="67"/>
      <c r="K83" s="67"/>
      <c r="L83" s="67"/>
      <c r="M83" s="67"/>
      <c r="N83" s="67"/>
      <c r="O83" s="67"/>
      <c r="P83" s="67"/>
      <c r="Q83" s="67"/>
      <c r="R83" s="67"/>
      <c r="S83" s="67"/>
    </row>
    <row r="84" spans="1:24" s="6" customFormat="1" ht="138.75" customHeight="1" x14ac:dyDescent="0.25">
      <c r="B84" s="26" t="s">
        <v>305</v>
      </c>
      <c r="C84" s="26"/>
      <c r="D84" s="26" t="s">
        <v>306</v>
      </c>
      <c r="E84" s="26"/>
      <c r="F84" s="26"/>
      <c r="G84" s="26"/>
      <c r="H84" s="26" t="s">
        <v>220</v>
      </c>
      <c r="I84" s="26"/>
      <c r="J84" s="26"/>
      <c r="K84" s="26"/>
      <c r="L84" s="26"/>
      <c r="M84" s="26"/>
      <c r="N84" s="26"/>
      <c r="O84" s="26"/>
      <c r="P84" s="48"/>
      <c r="Q84" s="48"/>
      <c r="R84" s="48"/>
      <c r="S84" s="48"/>
    </row>
    <row r="85" spans="1:24" s="6" customFormat="1" ht="129.75" customHeight="1" x14ac:dyDescent="0.25">
      <c r="B85" s="27" t="s">
        <v>307</v>
      </c>
      <c r="C85" s="27"/>
      <c r="D85" s="27" t="s">
        <v>308</v>
      </c>
      <c r="E85" s="27"/>
      <c r="F85" s="27"/>
      <c r="G85" s="27"/>
      <c r="H85" s="27"/>
      <c r="I85" s="27"/>
      <c r="J85" s="27"/>
      <c r="K85" s="27"/>
      <c r="L85" s="27"/>
      <c r="M85" s="27"/>
      <c r="N85" s="27"/>
      <c r="O85" s="27"/>
      <c r="P85" s="294">
        <f>SUM(P86:P96)</f>
        <v>14893271.4</v>
      </c>
      <c r="Q85" s="294">
        <f>SUM(Q86:Q96)</f>
        <v>8830993.7300000004</v>
      </c>
      <c r="R85" s="294">
        <f t="shared" ref="R85:S85" si="17">SUM(R86:R96)</f>
        <v>0</v>
      </c>
      <c r="S85" s="294">
        <f t="shared" si="17"/>
        <v>6062277.6700000009</v>
      </c>
      <c r="V85" s="38"/>
    </row>
    <row r="86" spans="1:24" s="6" customFormat="1" ht="128.25" customHeight="1" x14ac:dyDescent="0.25">
      <c r="B86" s="35" t="s">
        <v>309</v>
      </c>
      <c r="C86" s="35" t="s">
        <v>310</v>
      </c>
      <c r="D86" s="29" t="s">
        <v>311</v>
      </c>
      <c r="E86" s="29" t="s">
        <v>312</v>
      </c>
      <c r="F86" s="29" t="s">
        <v>313</v>
      </c>
      <c r="G86" s="29" t="s">
        <v>162</v>
      </c>
      <c r="H86" s="29" t="s">
        <v>314</v>
      </c>
      <c r="I86" s="35" t="s">
        <v>64</v>
      </c>
      <c r="J86" s="35" t="s">
        <v>66</v>
      </c>
      <c r="K86" s="35" t="s">
        <v>87</v>
      </c>
      <c r="L86" s="35" t="s">
        <v>87</v>
      </c>
      <c r="M86" s="35" t="s">
        <v>66</v>
      </c>
      <c r="N86" s="36" t="s">
        <v>126</v>
      </c>
      <c r="O86" s="36">
        <v>2019</v>
      </c>
      <c r="P86" s="32">
        <v>1392800</v>
      </c>
      <c r="Q86" s="32">
        <v>789008.78</v>
      </c>
      <c r="R86" s="32">
        <v>0</v>
      </c>
      <c r="S86" s="29">
        <f t="shared" ref="S86:S99" si="18">P86-Q86-R86</f>
        <v>603791.22</v>
      </c>
    </row>
    <row r="87" spans="1:24" s="6" customFormat="1" ht="102.75" customHeight="1" x14ac:dyDescent="0.25">
      <c r="B87" s="35" t="s">
        <v>315</v>
      </c>
      <c r="C87" s="35" t="s">
        <v>316</v>
      </c>
      <c r="D87" s="32" t="s">
        <v>317</v>
      </c>
      <c r="E87" s="32" t="s">
        <v>318</v>
      </c>
      <c r="F87" s="32" t="s">
        <v>313</v>
      </c>
      <c r="G87" s="32" t="s">
        <v>187</v>
      </c>
      <c r="H87" s="32" t="s">
        <v>314</v>
      </c>
      <c r="I87" s="35" t="s">
        <v>64</v>
      </c>
      <c r="J87" s="35" t="s">
        <v>66</v>
      </c>
      <c r="K87" s="35" t="s">
        <v>87</v>
      </c>
      <c r="L87" s="35" t="s">
        <v>87</v>
      </c>
      <c r="M87" s="35" t="s">
        <v>66</v>
      </c>
      <c r="N87" s="36" t="s">
        <v>67</v>
      </c>
      <c r="O87" s="36">
        <v>2020</v>
      </c>
      <c r="P87" s="32">
        <v>1229574.68</v>
      </c>
      <c r="Q87" s="32">
        <v>823834.4</v>
      </c>
      <c r="R87" s="32">
        <v>0</v>
      </c>
      <c r="S87" s="29">
        <f t="shared" si="18"/>
        <v>405740.27999999991</v>
      </c>
    </row>
    <row r="88" spans="1:24" s="6" customFormat="1" ht="111.75" customHeight="1" x14ac:dyDescent="0.25">
      <c r="B88" s="35" t="s">
        <v>319</v>
      </c>
      <c r="C88" s="35" t="s">
        <v>320</v>
      </c>
      <c r="D88" s="32" t="s">
        <v>321</v>
      </c>
      <c r="E88" s="32" t="s">
        <v>322</v>
      </c>
      <c r="F88" s="32" t="s">
        <v>313</v>
      </c>
      <c r="G88" s="32" t="s">
        <v>146</v>
      </c>
      <c r="H88" s="32" t="s">
        <v>314</v>
      </c>
      <c r="I88" s="35" t="s">
        <v>64</v>
      </c>
      <c r="J88" s="35" t="s">
        <v>65</v>
      </c>
      <c r="K88" s="35" t="s">
        <v>87</v>
      </c>
      <c r="L88" s="35" t="s">
        <v>87</v>
      </c>
      <c r="M88" s="35" t="s">
        <v>66</v>
      </c>
      <c r="N88" s="36" t="s">
        <v>126</v>
      </c>
      <c r="O88" s="36">
        <v>2018</v>
      </c>
      <c r="P88" s="32">
        <v>3744065.92</v>
      </c>
      <c r="Q88" s="32">
        <v>1713584.68</v>
      </c>
      <c r="R88" s="32">
        <v>0</v>
      </c>
      <c r="S88" s="32">
        <f t="shared" si="18"/>
        <v>2030481.24</v>
      </c>
    </row>
    <row r="89" spans="1:24" s="6" customFormat="1" ht="129.75" customHeight="1" x14ac:dyDescent="0.25">
      <c r="B89" s="35" t="s">
        <v>323</v>
      </c>
      <c r="C89" s="35" t="s">
        <v>324</v>
      </c>
      <c r="D89" s="32" t="s">
        <v>325</v>
      </c>
      <c r="E89" s="32" t="s">
        <v>326</v>
      </c>
      <c r="F89" s="32" t="s">
        <v>313</v>
      </c>
      <c r="G89" s="32" t="s">
        <v>73</v>
      </c>
      <c r="H89" s="32" t="s">
        <v>314</v>
      </c>
      <c r="I89" s="35" t="s">
        <v>64</v>
      </c>
      <c r="J89" s="35" t="s">
        <v>66</v>
      </c>
      <c r="K89" s="35" t="s">
        <v>87</v>
      </c>
      <c r="L89" s="35" t="s">
        <v>87</v>
      </c>
      <c r="M89" s="35" t="s">
        <v>66</v>
      </c>
      <c r="N89" s="36" t="s">
        <v>126</v>
      </c>
      <c r="O89" s="36">
        <v>2019</v>
      </c>
      <c r="P89" s="32">
        <v>1665450</v>
      </c>
      <c r="Q89" s="32">
        <v>1110408</v>
      </c>
      <c r="R89" s="32">
        <v>0</v>
      </c>
      <c r="S89" s="29">
        <f t="shared" si="18"/>
        <v>555042</v>
      </c>
    </row>
    <row r="90" spans="1:24" s="6" customFormat="1" ht="114.75" customHeight="1" x14ac:dyDescent="0.25">
      <c r="B90" s="35" t="s">
        <v>327</v>
      </c>
      <c r="C90" s="35" t="s">
        <v>328</v>
      </c>
      <c r="D90" s="32" t="s">
        <v>329</v>
      </c>
      <c r="E90" s="32" t="s">
        <v>330</v>
      </c>
      <c r="F90" s="32" t="s">
        <v>313</v>
      </c>
      <c r="G90" s="32" t="s">
        <v>94</v>
      </c>
      <c r="H90" s="32" t="s">
        <v>314</v>
      </c>
      <c r="I90" s="35" t="s">
        <v>64</v>
      </c>
      <c r="J90" s="35" t="s">
        <v>66</v>
      </c>
      <c r="K90" s="35" t="s">
        <v>87</v>
      </c>
      <c r="L90" s="35" t="s">
        <v>87</v>
      </c>
      <c r="M90" s="35" t="s">
        <v>66</v>
      </c>
      <c r="N90" s="36" t="s">
        <v>126</v>
      </c>
      <c r="O90" s="36">
        <v>2019</v>
      </c>
      <c r="P90" s="32">
        <v>1226741.69</v>
      </c>
      <c r="Q90" s="32">
        <v>824798.84</v>
      </c>
      <c r="R90" s="32">
        <v>0</v>
      </c>
      <c r="S90" s="29">
        <f t="shared" si="18"/>
        <v>401942.85</v>
      </c>
    </row>
    <row r="91" spans="1:24" s="6" customFormat="1" ht="66" customHeight="1" x14ac:dyDescent="0.25">
      <c r="B91" s="35" t="s">
        <v>331</v>
      </c>
      <c r="C91" s="35" t="s">
        <v>332</v>
      </c>
      <c r="D91" s="32" t="s">
        <v>333</v>
      </c>
      <c r="E91" s="32" t="s">
        <v>334</v>
      </c>
      <c r="F91" s="32" t="s">
        <v>313</v>
      </c>
      <c r="G91" s="32" t="s">
        <v>204</v>
      </c>
      <c r="H91" s="32" t="s">
        <v>314</v>
      </c>
      <c r="I91" s="35" t="s">
        <v>64</v>
      </c>
      <c r="J91" s="35" t="s">
        <v>66</v>
      </c>
      <c r="K91" s="35" t="s">
        <v>87</v>
      </c>
      <c r="L91" s="35" t="s">
        <v>87</v>
      </c>
      <c r="M91" s="35" t="s">
        <v>66</v>
      </c>
      <c r="N91" s="36" t="s">
        <v>126</v>
      </c>
      <c r="O91" s="36">
        <v>2019</v>
      </c>
      <c r="P91" s="32">
        <v>2011598.52</v>
      </c>
      <c r="Q91" s="53">
        <v>1609278.82</v>
      </c>
      <c r="R91" s="32">
        <v>0</v>
      </c>
      <c r="S91" s="29">
        <f t="shared" si="18"/>
        <v>402319.69999999995</v>
      </c>
    </row>
    <row r="92" spans="1:24" s="6" customFormat="1" ht="100.5" customHeight="1" x14ac:dyDescent="0.25">
      <c r="B92" s="35" t="s">
        <v>335</v>
      </c>
      <c r="C92" s="35" t="s">
        <v>336</v>
      </c>
      <c r="D92" s="32" t="s">
        <v>337</v>
      </c>
      <c r="E92" s="32" t="s">
        <v>338</v>
      </c>
      <c r="F92" s="32" t="s">
        <v>313</v>
      </c>
      <c r="G92" s="32" t="s">
        <v>162</v>
      </c>
      <c r="H92" s="32" t="s">
        <v>314</v>
      </c>
      <c r="I92" s="35" t="s">
        <v>64</v>
      </c>
      <c r="J92" s="35" t="s">
        <v>66</v>
      </c>
      <c r="K92" s="35" t="s">
        <v>87</v>
      </c>
      <c r="L92" s="35" t="s">
        <v>87</v>
      </c>
      <c r="M92" s="35" t="s">
        <v>66</v>
      </c>
      <c r="N92" s="36" t="s">
        <v>104</v>
      </c>
      <c r="O92" s="36">
        <v>2021</v>
      </c>
      <c r="P92" s="32">
        <v>407141.75</v>
      </c>
      <c r="Q92" s="32">
        <v>169000</v>
      </c>
      <c r="R92" s="32">
        <v>0</v>
      </c>
      <c r="S92" s="29">
        <f t="shared" si="18"/>
        <v>238141.75</v>
      </c>
    </row>
    <row r="93" spans="1:24" s="6" customFormat="1" ht="126.75" customHeight="1" x14ac:dyDescent="0.25">
      <c r="B93" s="35" t="s">
        <v>339</v>
      </c>
      <c r="C93" s="35" t="s">
        <v>340</v>
      </c>
      <c r="D93" s="32" t="s">
        <v>341</v>
      </c>
      <c r="E93" s="32" t="s">
        <v>334</v>
      </c>
      <c r="F93" s="32" t="s">
        <v>313</v>
      </c>
      <c r="G93" s="32" t="s">
        <v>204</v>
      </c>
      <c r="H93" s="32" t="s">
        <v>314</v>
      </c>
      <c r="I93" s="35" t="s">
        <v>64</v>
      </c>
      <c r="J93" s="35" t="s">
        <v>66</v>
      </c>
      <c r="K93" s="35" t="s">
        <v>87</v>
      </c>
      <c r="L93" s="35" t="s">
        <v>87</v>
      </c>
      <c r="M93" s="35" t="s">
        <v>66</v>
      </c>
      <c r="N93" s="36" t="s">
        <v>122</v>
      </c>
      <c r="O93" s="36">
        <v>2021</v>
      </c>
      <c r="P93" s="53">
        <v>717269.99</v>
      </c>
      <c r="Q93" s="32">
        <v>573815.99</v>
      </c>
      <c r="R93" s="32">
        <v>0</v>
      </c>
      <c r="S93" s="53">
        <v>143454</v>
      </c>
    </row>
    <row r="94" spans="1:24" s="33" customFormat="1" ht="82.5" customHeight="1" x14ac:dyDescent="0.25">
      <c r="B94" s="35" t="s">
        <v>343</v>
      </c>
      <c r="C94" s="35" t="s">
        <v>344</v>
      </c>
      <c r="D94" s="32" t="s">
        <v>345</v>
      </c>
      <c r="E94" s="32" t="s">
        <v>326</v>
      </c>
      <c r="F94" s="32" t="s">
        <v>313</v>
      </c>
      <c r="G94" s="32" t="s">
        <v>73</v>
      </c>
      <c r="H94" s="32" t="s">
        <v>314</v>
      </c>
      <c r="I94" s="35" t="s">
        <v>64</v>
      </c>
      <c r="J94" s="35" t="s">
        <v>66</v>
      </c>
      <c r="K94" s="35" t="s">
        <v>87</v>
      </c>
      <c r="L94" s="35" t="s">
        <v>87</v>
      </c>
      <c r="M94" s="35" t="s">
        <v>66</v>
      </c>
      <c r="N94" s="36" t="s">
        <v>98</v>
      </c>
      <c r="O94" s="36">
        <v>2020</v>
      </c>
      <c r="P94" s="53">
        <v>1193327.6499999999</v>
      </c>
      <c r="Q94" s="32">
        <v>528530.03</v>
      </c>
      <c r="R94" s="32">
        <v>0</v>
      </c>
      <c r="S94" s="29">
        <f t="shared" si="18"/>
        <v>664797.61999999988</v>
      </c>
      <c r="T94" s="6"/>
      <c r="U94" s="6"/>
      <c r="V94" s="6"/>
      <c r="W94" s="6"/>
      <c r="X94" s="6"/>
    </row>
    <row r="95" spans="1:24" s="33" customFormat="1" ht="78.75" customHeight="1" x14ac:dyDescent="0.25">
      <c r="A95" s="33" t="s">
        <v>220</v>
      </c>
      <c r="B95" s="35" t="s">
        <v>346</v>
      </c>
      <c r="C95" s="35" t="s">
        <v>347</v>
      </c>
      <c r="D95" s="32" t="s">
        <v>348</v>
      </c>
      <c r="E95" s="32" t="s">
        <v>318</v>
      </c>
      <c r="F95" s="32" t="s">
        <v>313</v>
      </c>
      <c r="G95" s="32" t="s">
        <v>187</v>
      </c>
      <c r="H95" s="32" t="s">
        <v>314</v>
      </c>
      <c r="I95" s="35" t="s">
        <v>64</v>
      </c>
      <c r="J95" s="35" t="s">
        <v>66</v>
      </c>
      <c r="K95" s="35" t="s">
        <v>87</v>
      </c>
      <c r="L95" s="35" t="s">
        <v>87</v>
      </c>
      <c r="M95" s="35" t="s">
        <v>66</v>
      </c>
      <c r="N95" s="36" t="s">
        <v>342</v>
      </c>
      <c r="O95" s="36">
        <v>2021</v>
      </c>
      <c r="P95" s="53">
        <v>677199.48</v>
      </c>
      <c r="Q95" s="32">
        <v>375000</v>
      </c>
      <c r="R95" s="32">
        <v>0</v>
      </c>
      <c r="S95" s="29">
        <f t="shared" si="18"/>
        <v>302199.48</v>
      </c>
      <c r="T95" s="6"/>
      <c r="U95" s="6"/>
      <c r="V95" s="6"/>
      <c r="W95" s="6"/>
      <c r="X95" s="6"/>
    </row>
    <row r="96" spans="1:24" s="33" customFormat="1" ht="153" customHeight="1" x14ac:dyDescent="0.25">
      <c r="B96" s="35" t="s">
        <v>349</v>
      </c>
      <c r="C96" s="35" t="s">
        <v>350</v>
      </c>
      <c r="D96" s="32" t="s">
        <v>351</v>
      </c>
      <c r="E96" s="32" t="s">
        <v>330</v>
      </c>
      <c r="F96" s="32" t="s">
        <v>313</v>
      </c>
      <c r="G96" s="32" t="s">
        <v>289</v>
      </c>
      <c r="H96" s="32" t="s">
        <v>314</v>
      </c>
      <c r="I96" s="35" t="s">
        <v>64</v>
      </c>
      <c r="J96" s="35" t="s">
        <v>66</v>
      </c>
      <c r="K96" s="35" t="s">
        <v>87</v>
      </c>
      <c r="L96" s="35" t="s">
        <v>87</v>
      </c>
      <c r="M96" s="35" t="s">
        <v>66</v>
      </c>
      <c r="N96" s="36" t="s">
        <v>98</v>
      </c>
      <c r="O96" s="36">
        <v>2021</v>
      </c>
      <c r="P96" s="53">
        <v>628101.72</v>
      </c>
      <c r="Q96" s="32">
        <v>313734.19</v>
      </c>
      <c r="R96" s="32">
        <v>0</v>
      </c>
      <c r="S96" s="29">
        <f t="shared" si="18"/>
        <v>314367.52999999997</v>
      </c>
      <c r="T96" s="6"/>
      <c r="U96" s="6"/>
      <c r="V96" s="6"/>
      <c r="W96" s="6"/>
      <c r="X96" s="6"/>
    </row>
    <row r="97" spans="2:33" s="6" customFormat="1" ht="138.75" customHeight="1" x14ac:dyDescent="0.25">
      <c r="B97" s="27" t="s">
        <v>352</v>
      </c>
      <c r="C97" s="27"/>
      <c r="D97" s="27" t="s">
        <v>353</v>
      </c>
      <c r="E97" s="27"/>
      <c r="F97" s="27"/>
      <c r="G97" s="27"/>
      <c r="H97" s="27"/>
      <c r="I97" s="27"/>
      <c r="J97" s="27"/>
      <c r="K97" s="27"/>
      <c r="L97" s="27"/>
      <c r="M97" s="27"/>
      <c r="N97" s="27"/>
      <c r="O97" s="27"/>
      <c r="P97" s="279">
        <f>P98+P99</f>
        <v>2053631.87</v>
      </c>
      <c r="Q97" s="279">
        <f>Q98+Q99</f>
        <v>1745587.0899999999</v>
      </c>
      <c r="R97" s="279">
        <f>R98+R99</f>
        <v>0</v>
      </c>
      <c r="S97" s="279">
        <f>S98+S99</f>
        <v>308044.78000000003</v>
      </c>
    </row>
    <row r="98" spans="2:33" s="6" customFormat="1" ht="143.25" customHeight="1" x14ac:dyDescent="0.25">
      <c r="B98" s="35" t="s">
        <v>354</v>
      </c>
      <c r="C98" s="35" t="s">
        <v>355</v>
      </c>
      <c r="D98" s="32" t="s">
        <v>356</v>
      </c>
      <c r="E98" s="32" t="s">
        <v>357</v>
      </c>
      <c r="F98" s="32" t="s">
        <v>313</v>
      </c>
      <c r="G98" s="32" t="s">
        <v>153</v>
      </c>
      <c r="H98" s="32" t="s">
        <v>358</v>
      </c>
      <c r="I98" s="35" t="s">
        <v>64</v>
      </c>
      <c r="J98" s="35" t="s">
        <v>66</v>
      </c>
      <c r="K98" s="35" t="s">
        <v>87</v>
      </c>
      <c r="L98" s="35" t="s">
        <v>87</v>
      </c>
      <c r="M98" s="35" t="s">
        <v>66</v>
      </c>
      <c r="N98" s="36" t="s">
        <v>78</v>
      </c>
      <c r="O98" s="36">
        <v>2020</v>
      </c>
      <c r="P98" s="32">
        <v>1018412.87</v>
      </c>
      <c r="Q98" s="32">
        <v>865650.94</v>
      </c>
      <c r="R98" s="32">
        <v>0</v>
      </c>
      <c r="S98" s="29">
        <f t="shared" si="18"/>
        <v>152761.93000000005</v>
      </c>
    </row>
    <row r="99" spans="2:33" s="6" customFormat="1" ht="143.25" customHeight="1" x14ac:dyDescent="0.25">
      <c r="B99" s="35" t="s">
        <v>359</v>
      </c>
      <c r="C99" s="35" t="s">
        <v>360</v>
      </c>
      <c r="D99" s="32" t="s">
        <v>361</v>
      </c>
      <c r="E99" s="32" t="s">
        <v>362</v>
      </c>
      <c r="F99" s="32" t="s">
        <v>313</v>
      </c>
      <c r="G99" s="32" t="s">
        <v>208</v>
      </c>
      <c r="H99" s="32" t="s">
        <v>363</v>
      </c>
      <c r="I99" s="35" t="s">
        <v>64</v>
      </c>
      <c r="J99" s="35" t="s">
        <v>65</v>
      </c>
      <c r="K99" s="35" t="s">
        <v>87</v>
      </c>
      <c r="L99" s="35" t="s">
        <v>87</v>
      </c>
      <c r="M99" s="35" t="s">
        <v>66</v>
      </c>
      <c r="N99" s="36" t="s">
        <v>67</v>
      </c>
      <c r="O99" s="36">
        <v>2018</v>
      </c>
      <c r="P99" s="32">
        <v>1035219</v>
      </c>
      <c r="Q99" s="32">
        <v>879936.15</v>
      </c>
      <c r="R99" s="32">
        <v>0</v>
      </c>
      <c r="S99" s="29">
        <f t="shared" si="18"/>
        <v>155282.84999999998</v>
      </c>
    </row>
    <row r="100" spans="2:33" s="6" customFormat="1" ht="76.5" customHeight="1" x14ac:dyDescent="0.25">
      <c r="B100" s="27" t="s">
        <v>364</v>
      </c>
      <c r="C100" s="27"/>
      <c r="D100" s="27" t="s">
        <v>365</v>
      </c>
      <c r="E100" s="27"/>
      <c r="F100" s="27"/>
      <c r="G100" s="27"/>
      <c r="H100" s="27"/>
      <c r="I100" s="27"/>
      <c r="J100" s="27"/>
      <c r="K100" s="27"/>
      <c r="L100" s="27"/>
      <c r="M100" s="27"/>
      <c r="N100" s="27"/>
      <c r="O100" s="27"/>
      <c r="P100" s="279">
        <f>P101+P102+P103+P104+P105+P106</f>
        <v>3251580.6900000004</v>
      </c>
      <c r="Q100" s="279">
        <f t="shared" ref="Q100:S100" si="19">Q101+Q102+Q103+Q104+Q105+Q106</f>
        <v>2741982.62</v>
      </c>
      <c r="R100" s="279">
        <f t="shared" si="19"/>
        <v>0</v>
      </c>
      <c r="S100" s="279">
        <f t="shared" si="19"/>
        <v>509598.06999999983</v>
      </c>
    </row>
    <row r="101" spans="2:33" s="6" customFormat="1" ht="95.25" customHeight="1" x14ac:dyDescent="0.25">
      <c r="B101" s="35" t="s">
        <v>366</v>
      </c>
      <c r="C101" s="35" t="s">
        <v>367</v>
      </c>
      <c r="D101" s="32" t="s">
        <v>368</v>
      </c>
      <c r="E101" s="32" t="s">
        <v>145</v>
      </c>
      <c r="F101" s="32" t="s">
        <v>313</v>
      </c>
      <c r="G101" s="32" t="s">
        <v>146</v>
      </c>
      <c r="H101" s="32" t="s">
        <v>369</v>
      </c>
      <c r="I101" s="35" t="s">
        <v>64</v>
      </c>
      <c r="J101" s="35" t="s">
        <v>66</v>
      </c>
      <c r="K101" s="35" t="s">
        <v>87</v>
      </c>
      <c r="L101" s="35" t="s">
        <v>87</v>
      </c>
      <c r="M101" s="35" t="s">
        <v>66</v>
      </c>
      <c r="N101" s="36" t="s">
        <v>126</v>
      </c>
      <c r="O101" s="36">
        <v>2019</v>
      </c>
      <c r="P101" s="32">
        <v>519466.19</v>
      </c>
      <c r="Q101" s="32">
        <v>441546.19</v>
      </c>
      <c r="R101" s="32">
        <v>0</v>
      </c>
      <c r="S101" s="29">
        <f t="shared" ref="S101:S106" si="20">P101-Q101-R101</f>
        <v>77920</v>
      </c>
    </row>
    <row r="102" spans="2:33" s="6" customFormat="1" ht="47.25" customHeight="1" x14ac:dyDescent="0.25">
      <c r="B102" s="35" t="s">
        <v>370</v>
      </c>
      <c r="C102" s="35" t="s">
        <v>371</v>
      </c>
      <c r="D102" s="32" t="s">
        <v>372</v>
      </c>
      <c r="E102" s="32" t="s">
        <v>373</v>
      </c>
      <c r="F102" s="32" t="s">
        <v>313</v>
      </c>
      <c r="G102" s="32" t="s">
        <v>139</v>
      </c>
      <c r="H102" s="32" t="s">
        <v>374</v>
      </c>
      <c r="I102" s="35" t="s">
        <v>64</v>
      </c>
      <c r="J102" s="35" t="s">
        <v>66</v>
      </c>
      <c r="K102" s="35" t="s">
        <v>87</v>
      </c>
      <c r="L102" s="35" t="s">
        <v>87</v>
      </c>
      <c r="M102" s="35" t="s">
        <v>66</v>
      </c>
      <c r="N102" s="36" t="s">
        <v>278</v>
      </c>
      <c r="O102" s="36">
        <v>2019</v>
      </c>
      <c r="P102" s="32">
        <v>400317.65</v>
      </c>
      <c r="Q102" s="32">
        <v>340270</v>
      </c>
      <c r="R102" s="32">
        <v>0</v>
      </c>
      <c r="S102" s="29">
        <f t="shared" si="20"/>
        <v>60047.650000000023</v>
      </c>
    </row>
    <row r="103" spans="2:33" s="6" customFormat="1" ht="63" customHeight="1" x14ac:dyDescent="0.25">
      <c r="B103" s="35" t="s">
        <v>375</v>
      </c>
      <c r="C103" s="35" t="s">
        <v>376</v>
      </c>
      <c r="D103" s="32" t="s">
        <v>377</v>
      </c>
      <c r="E103" s="32" t="s">
        <v>378</v>
      </c>
      <c r="F103" s="32" t="s">
        <v>313</v>
      </c>
      <c r="G103" s="32" t="s">
        <v>62</v>
      </c>
      <c r="H103" s="32" t="s">
        <v>369</v>
      </c>
      <c r="I103" s="35" t="s">
        <v>64</v>
      </c>
      <c r="J103" s="35" t="s">
        <v>66</v>
      </c>
      <c r="K103" s="35" t="s">
        <v>87</v>
      </c>
      <c r="L103" s="35" t="s">
        <v>87</v>
      </c>
      <c r="M103" s="35" t="s">
        <v>66</v>
      </c>
      <c r="N103" s="36" t="s">
        <v>67</v>
      </c>
      <c r="O103" s="36">
        <v>2019</v>
      </c>
      <c r="P103" s="32">
        <v>579324.81999999995</v>
      </c>
      <c r="Q103" s="32">
        <v>492426.09</v>
      </c>
      <c r="R103" s="32">
        <v>0</v>
      </c>
      <c r="S103" s="32">
        <f t="shared" si="20"/>
        <v>86898.729999999923</v>
      </c>
    </row>
    <row r="104" spans="2:33" s="6" customFormat="1" ht="105" customHeight="1" x14ac:dyDescent="0.25">
      <c r="B104" s="35" t="s">
        <v>379</v>
      </c>
      <c r="C104" s="35" t="s">
        <v>380</v>
      </c>
      <c r="D104" s="32" t="s">
        <v>381</v>
      </c>
      <c r="E104" s="32" t="s">
        <v>382</v>
      </c>
      <c r="F104" s="32" t="s">
        <v>313</v>
      </c>
      <c r="G104" s="32" t="s">
        <v>94</v>
      </c>
      <c r="H104" s="32" t="s">
        <v>369</v>
      </c>
      <c r="I104" s="35" t="s">
        <v>64</v>
      </c>
      <c r="J104" s="35" t="s">
        <v>66</v>
      </c>
      <c r="K104" s="35" t="s">
        <v>87</v>
      </c>
      <c r="L104" s="35" t="s">
        <v>87</v>
      </c>
      <c r="M104" s="35" t="s">
        <v>66</v>
      </c>
      <c r="N104" s="36" t="s">
        <v>235</v>
      </c>
      <c r="O104" s="36">
        <v>2019</v>
      </c>
      <c r="P104" s="32">
        <v>566036.31999999995</v>
      </c>
      <c r="Q104" s="32">
        <v>459270</v>
      </c>
      <c r="R104" s="32">
        <v>0</v>
      </c>
      <c r="S104" s="32">
        <f t="shared" si="20"/>
        <v>106766.31999999995</v>
      </c>
    </row>
    <row r="105" spans="2:33" s="6" customFormat="1" ht="76.5" customHeight="1" x14ac:dyDescent="0.25">
      <c r="B105" s="35" t="s">
        <v>383</v>
      </c>
      <c r="C105" s="35" t="s">
        <v>384</v>
      </c>
      <c r="D105" s="32" t="s">
        <v>385</v>
      </c>
      <c r="E105" s="32" t="s">
        <v>386</v>
      </c>
      <c r="F105" s="32" t="s">
        <v>313</v>
      </c>
      <c r="G105" s="32" t="s">
        <v>187</v>
      </c>
      <c r="H105" s="32" t="s">
        <v>369</v>
      </c>
      <c r="I105" s="35" t="s">
        <v>64</v>
      </c>
      <c r="J105" s="35" t="s">
        <v>66</v>
      </c>
      <c r="K105" s="35" t="s">
        <v>87</v>
      </c>
      <c r="L105" s="35" t="s">
        <v>87</v>
      </c>
      <c r="M105" s="35" t="s">
        <v>66</v>
      </c>
      <c r="N105" s="36" t="s">
        <v>193</v>
      </c>
      <c r="O105" s="36">
        <v>2019</v>
      </c>
      <c r="P105" s="32">
        <v>569725.67999999993</v>
      </c>
      <c r="Q105" s="32">
        <v>484266.82</v>
      </c>
      <c r="R105" s="32">
        <v>0</v>
      </c>
      <c r="S105" s="29">
        <f t="shared" si="20"/>
        <v>85458.859999999928</v>
      </c>
    </row>
    <row r="106" spans="2:33" s="6" customFormat="1" ht="90" customHeight="1" x14ac:dyDescent="0.25">
      <c r="B106" s="35" t="s">
        <v>387</v>
      </c>
      <c r="C106" s="35" t="s">
        <v>388</v>
      </c>
      <c r="D106" s="32" t="s">
        <v>389</v>
      </c>
      <c r="E106" s="32" t="s">
        <v>152</v>
      </c>
      <c r="F106" s="32" t="s">
        <v>390</v>
      </c>
      <c r="G106" s="32" t="s">
        <v>204</v>
      </c>
      <c r="H106" s="32" t="s">
        <v>369</v>
      </c>
      <c r="I106" s="35" t="s">
        <v>64</v>
      </c>
      <c r="J106" s="35" t="s">
        <v>66</v>
      </c>
      <c r="K106" s="35" t="s">
        <v>87</v>
      </c>
      <c r="L106" s="35" t="s">
        <v>87</v>
      </c>
      <c r="M106" s="35" t="s">
        <v>66</v>
      </c>
      <c r="N106" s="36" t="s">
        <v>193</v>
      </c>
      <c r="O106" s="36">
        <v>2019</v>
      </c>
      <c r="P106" s="32">
        <v>616710.03</v>
      </c>
      <c r="Q106" s="32">
        <v>524203.52000000002</v>
      </c>
      <c r="R106" s="32">
        <v>0</v>
      </c>
      <c r="S106" s="29">
        <f t="shared" si="20"/>
        <v>92506.510000000009</v>
      </c>
    </row>
    <row r="107" spans="2:33" s="1" customFormat="1" ht="89.25" x14ac:dyDescent="0.25">
      <c r="B107" s="71" t="str">
        <f>'[1]1 lentelė'!B108</f>
        <v>2.2.2.</v>
      </c>
      <c r="C107" s="71"/>
      <c r="D107" s="70" t="str">
        <f>'[1]1 lentelė'!D108</f>
        <v>Uždavinys: Gerinti regiono kraštovaizdžio tvarkymo ir apsaugos efektyvumą</v>
      </c>
      <c r="E107" s="71"/>
      <c r="F107" s="71"/>
      <c r="G107" s="71"/>
      <c r="H107" s="71"/>
      <c r="I107" s="71"/>
      <c r="J107" s="71"/>
      <c r="K107" s="71"/>
      <c r="L107" s="71"/>
      <c r="M107" s="71"/>
      <c r="N107" s="71"/>
      <c r="O107" s="71"/>
      <c r="P107" s="71"/>
      <c r="Q107" s="71"/>
      <c r="R107" s="71"/>
      <c r="S107" s="71"/>
      <c r="T107" s="71"/>
      <c r="U107" s="71"/>
      <c r="V107" s="71"/>
      <c r="W107" s="46"/>
      <c r="X107" s="46"/>
      <c r="Y107" s="46"/>
      <c r="Z107" s="44"/>
      <c r="AA107" s="44"/>
      <c r="AB107" s="44"/>
      <c r="AC107" s="44"/>
      <c r="AD107" s="44"/>
      <c r="AE107" s="44"/>
      <c r="AF107" s="44"/>
      <c r="AG107" s="44"/>
    </row>
    <row r="108" spans="2:33" s="6" customFormat="1" ht="139.5" customHeight="1" x14ac:dyDescent="0.25">
      <c r="B108" s="27" t="s">
        <v>391</v>
      </c>
      <c r="C108" s="27"/>
      <c r="D108" s="27" t="s">
        <v>392</v>
      </c>
      <c r="E108" s="27"/>
      <c r="F108" s="27"/>
      <c r="G108" s="27"/>
      <c r="H108" s="27"/>
      <c r="I108" s="27"/>
      <c r="J108" s="27"/>
      <c r="K108" s="27"/>
      <c r="L108" s="27"/>
      <c r="M108" s="27"/>
      <c r="N108" s="27"/>
      <c r="O108" s="27"/>
      <c r="P108" s="294">
        <f>P109+P110+P111+P112+P113+P114+P115+P116+P117+P118+P119+P120</f>
        <v>3765702.2700000005</v>
      </c>
      <c r="Q108" s="294">
        <f t="shared" ref="Q108:S108" si="21">Q109+Q110+Q111+Q112+Q113+Q114+Q115+Q116+Q117+Q118+Q119+Q120</f>
        <v>2977110.9800000004</v>
      </c>
      <c r="R108" s="294">
        <f t="shared" si="21"/>
        <v>0</v>
      </c>
      <c r="S108" s="294">
        <f t="shared" si="21"/>
        <v>788591.29</v>
      </c>
      <c r="U108" s="227"/>
      <c r="V108" s="44">
        <v>2995847</v>
      </c>
      <c r="W108" s="45">
        <f>V108-Q108</f>
        <v>18736.019999999553</v>
      </c>
    </row>
    <row r="109" spans="2:33" s="33" customFormat="1" ht="99.75" customHeight="1" x14ac:dyDescent="0.25">
      <c r="B109" s="35" t="s">
        <v>393</v>
      </c>
      <c r="C109" s="35" t="s">
        <v>394</v>
      </c>
      <c r="D109" s="32" t="s">
        <v>395</v>
      </c>
      <c r="E109" s="32" t="s">
        <v>186</v>
      </c>
      <c r="F109" s="32" t="s">
        <v>313</v>
      </c>
      <c r="G109" s="32" t="s">
        <v>187</v>
      </c>
      <c r="H109" s="32" t="s">
        <v>396</v>
      </c>
      <c r="I109" s="35" t="s">
        <v>64</v>
      </c>
      <c r="J109" s="35" t="s">
        <v>66</v>
      </c>
      <c r="K109" s="35" t="s">
        <v>87</v>
      </c>
      <c r="L109" s="35" t="s">
        <v>87</v>
      </c>
      <c r="M109" s="35" t="s">
        <v>66</v>
      </c>
      <c r="N109" s="36" t="s">
        <v>104</v>
      </c>
      <c r="O109" s="36">
        <v>2021</v>
      </c>
      <c r="P109" s="32">
        <v>35385</v>
      </c>
      <c r="Q109" s="32">
        <v>30077.200000000001</v>
      </c>
      <c r="R109" s="32">
        <v>0</v>
      </c>
      <c r="S109" s="32">
        <f t="shared" ref="S109:S120" si="22">P109-Q109-R109</f>
        <v>5307.7999999999993</v>
      </c>
      <c r="T109" s="6"/>
      <c r="U109" s="6"/>
      <c r="V109" s="6"/>
      <c r="W109" s="6"/>
      <c r="X109" s="6"/>
    </row>
    <row r="110" spans="2:33" s="33" customFormat="1" ht="126" customHeight="1" x14ac:dyDescent="0.25">
      <c r="B110" s="35" t="s">
        <v>397</v>
      </c>
      <c r="C110" s="35" t="s">
        <v>398</v>
      </c>
      <c r="D110" s="32" t="s">
        <v>399</v>
      </c>
      <c r="E110" s="32" t="s">
        <v>93</v>
      </c>
      <c r="F110" s="32" t="s">
        <v>313</v>
      </c>
      <c r="G110" s="32" t="s">
        <v>94</v>
      </c>
      <c r="H110" s="32" t="s">
        <v>400</v>
      </c>
      <c r="I110" s="35" t="s">
        <v>64</v>
      </c>
      <c r="J110" s="35" t="s">
        <v>66</v>
      </c>
      <c r="K110" s="35" t="s">
        <v>87</v>
      </c>
      <c r="L110" s="35" t="s">
        <v>87</v>
      </c>
      <c r="M110" s="35" t="s">
        <v>66</v>
      </c>
      <c r="N110" s="36" t="s">
        <v>109</v>
      </c>
      <c r="O110" s="36">
        <v>2020</v>
      </c>
      <c r="P110" s="32">
        <v>390386.31</v>
      </c>
      <c r="Q110" s="32">
        <v>325725</v>
      </c>
      <c r="R110" s="32">
        <v>0</v>
      </c>
      <c r="S110" s="29">
        <f t="shared" si="22"/>
        <v>64661.31</v>
      </c>
      <c r="T110" s="6"/>
      <c r="U110" s="6"/>
      <c r="V110" s="6"/>
      <c r="W110" s="6"/>
      <c r="X110" s="6"/>
    </row>
    <row r="111" spans="2:33" s="33" customFormat="1" ht="140.25" customHeight="1" x14ac:dyDescent="0.25">
      <c r="B111" s="35" t="s">
        <v>401</v>
      </c>
      <c r="C111" s="35" t="s">
        <v>402</v>
      </c>
      <c r="D111" s="32" t="s">
        <v>403</v>
      </c>
      <c r="E111" s="32" t="s">
        <v>186</v>
      </c>
      <c r="F111" s="32" t="s">
        <v>313</v>
      </c>
      <c r="G111" s="32" t="s">
        <v>187</v>
      </c>
      <c r="H111" s="32" t="s">
        <v>396</v>
      </c>
      <c r="I111" s="35" t="s">
        <v>64</v>
      </c>
      <c r="J111" s="35" t="s">
        <v>66</v>
      </c>
      <c r="K111" s="35" t="s">
        <v>87</v>
      </c>
      <c r="L111" s="35" t="s">
        <v>87</v>
      </c>
      <c r="M111" s="35" t="s">
        <v>66</v>
      </c>
      <c r="N111" s="36" t="s">
        <v>109</v>
      </c>
      <c r="O111" s="36">
        <v>2020</v>
      </c>
      <c r="P111" s="32">
        <v>644100</v>
      </c>
      <c r="Q111" s="32">
        <v>547485</v>
      </c>
      <c r="R111" s="32">
        <v>0</v>
      </c>
      <c r="S111" s="29">
        <f t="shared" si="22"/>
        <v>96615</v>
      </c>
      <c r="T111" s="6"/>
      <c r="U111" s="6"/>
      <c r="V111" s="6"/>
      <c r="W111" s="6"/>
      <c r="X111" s="6"/>
    </row>
    <row r="112" spans="2:33" s="33" customFormat="1" ht="75.75" customHeight="1" x14ac:dyDescent="0.25">
      <c r="B112" s="207" t="s">
        <v>404</v>
      </c>
      <c r="C112" s="207" t="s">
        <v>405</v>
      </c>
      <c r="D112" s="216" t="s">
        <v>406</v>
      </c>
      <c r="E112" s="216" t="s">
        <v>152</v>
      </c>
      <c r="F112" s="216" t="s">
        <v>313</v>
      </c>
      <c r="G112" s="216" t="s">
        <v>204</v>
      </c>
      <c r="H112" s="216" t="s">
        <v>400</v>
      </c>
      <c r="I112" s="207" t="s">
        <v>64</v>
      </c>
      <c r="J112" s="207" t="s">
        <v>66</v>
      </c>
      <c r="K112" s="207" t="s">
        <v>87</v>
      </c>
      <c r="L112" s="207" t="s">
        <v>87</v>
      </c>
      <c r="M112" s="207" t="s">
        <v>66</v>
      </c>
      <c r="N112" s="292" t="s">
        <v>278</v>
      </c>
      <c r="O112" s="292">
        <v>2021</v>
      </c>
      <c r="P112" s="216">
        <v>811154.46</v>
      </c>
      <c r="Q112" s="216">
        <v>502660.84</v>
      </c>
      <c r="R112" s="216">
        <v>0</v>
      </c>
      <c r="S112" s="216">
        <f t="shared" si="22"/>
        <v>308493.61999999994</v>
      </c>
      <c r="T112" s="6"/>
      <c r="U112" s="6"/>
      <c r="V112" s="6"/>
      <c r="W112" s="6"/>
      <c r="X112" s="6"/>
    </row>
    <row r="113" spans="2:26" s="33" customFormat="1" ht="105" customHeight="1" x14ac:dyDescent="0.25">
      <c r="B113" s="35" t="s">
        <v>407</v>
      </c>
      <c r="C113" s="35" t="s">
        <v>408</v>
      </c>
      <c r="D113" s="32" t="s">
        <v>409</v>
      </c>
      <c r="E113" s="32" t="s">
        <v>60</v>
      </c>
      <c r="F113" s="32" t="s">
        <v>313</v>
      </c>
      <c r="G113" s="32" t="s">
        <v>73</v>
      </c>
      <c r="H113" s="32" t="s">
        <v>396</v>
      </c>
      <c r="I113" s="35" t="s">
        <v>64</v>
      </c>
      <c r="J113" s="35" t="s">
        <v>66</v>
      </c>
      <c r="K113" s="35" t="s">
        <v>87</v>
      </c>
      <c r="L113" s="35" t="s">
        <v>87</v>
      </c>
      <c r="M113" s="35" t="s">
        <v>66</v>
      </c>
      <c r="N113" s="36" t="s">
        <v>126</v>
      </c>
      <c r="O113" s="36">
        <v>2018</v>
      </c>
      <c r="P113" s="32">
        <v>238835.47</v>
      </c>
      <c r="Q113" s="32">
        <v>203010.14</v>
      </c>
      <c r="R113" s="32">
        <v>0</v>
      </c>
      <c r="S113" s="29">
        <f t="shared" si="22"/>
        <v>35825.329999999987</v>
      </c>
      <c r="T113" s="6"/>
      <c r="U113" s="6"/>
      <c r="V113" s="6"/>
      <c r="W113" s="6"/>
      <c r="X113" s="6"/>
    </row>
    <row r="114" spans="2:26" s="33" customFormat="1" ht="78" customHeight="1" x14ac:dyDescent="0.25">
      <c r="B114" s="35" t="s">
        <v>410</v>
      </c>
      <c r="C114" s="35" t="s">
        <v>411</v>
      </c>
      <c r="D114" s="32" t="s">
        <v>412</v>
      </c>
      <c r="E114" s="32" t="s">
        <v>60</v>
      </c>
      <c r="F114" s="32" t="s">
        <v>313</v>
      </c>
      <c r="G114" s="32" t="s">
        <v>73</v>
      </c>
      <c r="H114" s="32" t="s">
        <v>396</v>
      </c>
      <c r="I114" s="35" t="s">
        <v>64</v>
      </c>
      <c r="J114" s="35" t="s">
        <v>66</v>
      </c>
      <c r="K114" s="35" t="s">
        <v>87</v>
      </c>
      <c r="L114" s="35" t="s">
        <v>87</v>
      </c>
      <c r="M114" s="35" t="s">
        <v>66</v>
      </c>
      <c r="N114" s="36" t="s">
        <v>98</v>
      </c>
      <c r="O114" s="36">
        <v>2020</v>
      </c>
      <c r="P114" s="32">
        <v>170426</v>
      </c>
      <c r="Q114" s="53">
        <v>144862.1</v>
      </c>
      <c r="R114" s="32">
        <v>0</v>
      </c>
      <c r="S114" s="29">
        <f t="shared" si="22"/>
        <v>25563.899999999994</v>
      </c>
      <c r="T114" s="6"/>
      <c r="U114" s="6"/>
      <c r="V114" s="6"/>
      <c r="W114" s="6"/>
      <c r="X114" s="6"/>
    </row>
    <row r="115" spans="2:26" s="6" customFormat="1" ht="68.25" customHeight="1" x14ac:dyDescent="0.25">
      <c r="B115" s="35" t="s">
        <v>413</v>
      </c>
      <c r="C115" s="35" t="s">
        <v>414</v>
      </c>
      <c r="D115" s="32" t="s">
        <v>415</v>
      </c>
      <c r="E115" s="32" t="s">
        <v>145</v>
      </c>
      <c r="F115" s="32" t="s">
        <v>313</v>
      </c>
      <c r="G115" s="32" t="s">
        <v>146</v>
      </c>
      <c r="H115" s="32" t="s">
        <v>396</v>
      </c>
      <c r="I115" s="35" t="s">
        <v>64</v>
      </c>
      <c r="J115" s="35" t="s">
        <v>66</v>
      </c>
      <c r="K115" s="35" t="s">
        <v>87</v>
      </c>
      <c r="L115" s="35" t="s">
        <v>87</v>
      </c>
      <c r="M115" s="35" t="s">
        <v>66</v>
      </c>
      <c r="N115" s="36" t="s">
        <v>105</v>
      </c>
      <c r="O115" s="36">
        <v>2020</v>
      </c>
      <c r="P115" s="32">
        <v>469589.24</v>
      </c>
      <c r="Q115" s="32">
        <v>399150.85</v>
      </c>
      <c r="R115" s="32">
        <v>0</v>
      </c>
      <c r="S115" s="32">
        <f t="shared" si="22"/>
        <v>70438.390000000014</v>
      </c>
    </row>
    <row r="116" spans="2:26" s="6" customFormat="1" ht="87" customHeight="1" x14ac:dyDescent="0.25">
      <c r="B116" s="35" t="s">
        <v>416</v>
      </c>
      <c r="C116" s="35" t="s">
        <v>417</v>
      </c>
      <c r="D116" s="32" t="s">
        <v>418</v>
      </c>
      <c r="E116" s="32" t="s">
        <v>152</v>
      </c>
      <c r="F116" s="32" t="s">
        <v>313</v>
      </c>
      <c r="G116" s="32" t="s">
        <v>204</v>
      </c>
      <c r="H116" s="32" t="s">
        <v>396</v>
      </c>
      <c r="I116" s="35" t="s">
        <v>64</v>
      </c>
      <c r="J116" s="35" t="s">
        <v>66</v>
      </c>
      <c r="K116" s="35" t="s">
        <v>87</v>
      </c>
      <c r="L116" s="35" t="s">
        <v>87</v>
      </c>
      <c r="M116" s="35" t="s">
        <v>66</v>
      </c>
      <c r="N116" s="36" t="s">
        <v>342</v>
      </c>
      <c r="O116" s="36">
        <v>2020</v>
      </c>
      <c r="P116" s="53">
        <v>61811.29</v>
      </c>
      <c r="Q116" s="32">
        <v>52539.6</v>
      </c>
      <c r="R116" s="32">
        <v>0</v>
      </c>
      <c r="S116" s="29">
        <f t="shared" si="22"/>
        <v>9271.6900000000023</v>
      </c>
      <c r="Z116" s="38"/>
    </row>
    <row r="117" spans="2:26" s="33" customFormat="1" ht="111.75" customHeight="1" x14ac:dyDescent="0.25">
      <c r="B117" s="35" t="s">
        <v>419</v>
      </c>
      <c r="C117" s="35" t="s">
        <v>420</v>
      </c>
      <c r="D117" s="32" t="s">
        <v>421</v>
      </c>
      <c r="E117" s="32" t="s">
        <v>93</v>
      </c>
      <c r="F117" s="32" t="s">
        <v>313</v>
      </c>
      <c r="G117" s="32" t="s">
        <v>94</v>
      </c>
      <c r="H117" s="32" t="s">
        <v>400</v>
      </c>
      <c r="I117" s="35" t="s">
        <v>64</v>
      </c>
      <c r="J117" s="35" t="s">
        <v>66</v>
      </c>
      <c r="K117" s="35" t="s">
        <v>87</v>
      </c>
      <c r="L117" s="35" t="s">
        <v>87</v>
      </c>
      <c r="M117" s="35" t="s">
        <v>66</v>
      </c>
      <c r="N117" s="36" t="s">
        <v>422</v>
      </c>
      <c r="O117" s="36">
        <v>2020</v>
      </c>
      <c r="P117" s="32">
        <v>271859.99</v>
      </c>
      <c r="Q117" s="32">
        <v>213195.03</v>
      </c>
      <c r="R117" s="32">
        <v>0</v>
      </c>
      <c r="S117" s="32">
        <f t="shared" si="22"/>
        <v>58664.959999999992</v>
      </c>
      <c r="T117" s="6"/>
      <c r="U117" s="6"/>
      <c r="V117" s="6"/>
      <c r="W117" s="6"/>
      <c r="X117" s="6"/>
    </row>
    <row r="118" spans="2:26" s="6" customFormat="1" ht="234" customHeight="1" x14ac:dyDescent="0.25">
      <c r="B118" s="35" t="s">
        <v>423</v>
      </c>
      <c r="C118" s="35" t="s">
        <v>424</v>
      </c>
      <c r="D118" s="29" t="s">
        <v>425</v>
      </c>
      <c r="E118" s="29" t="s">
        <v>138</v>
      </c>
      <c r="F118" s="29" t="s">
        <v>313</v>
      </c>
      <c r="G118" s="29" t="s">
        <v>139</v>
      </c>
      <c r="H118" s="29" t="s">
        <v>400</v>
      </c>
      <c r="I118" s="35" t="s">
        <v>64</v>
      </c>
      <c r="J118" s="35" t="s">
        <v>66</v>
      </c>
      <c r="K118" s="35" t="s">
        <v>87</v>
      </c>
      <c r="L118" s="35" t="s">
        <v>87</v>
      </c>
      <c r="M118" s="35" t="s">
        <v>66</v>
      </c>
      <c r="N118" s="36" t="s">
        <v>426</v>
      </c>
      <c r="O118" s="36">
        <v>2022</v>
      </c>
      <c r="P118" s="32">
        <v>588235.30000000005</v>
      </c>
      <c r="Q118" s="32">
        <v>500000</v>
      </c>
      <c r="R118" s="32">
        <v>0</v>
      </c>
      <c r="S118" s="29">
        <f t="shared" si="22"/>
        <v>88235.300000000047</v>
      </c>
    </row>
    <row r="119" spans="2:26" s="6" customFormat="1" ht="176.25" customHeight="1" x14ac:dyDescent="0.25">
      <c r="B119" s="35" t="s">
        <v>1080</v>
      </c>
      <c r="C119" s="35" t="s">
        <v>1083</v>
      </c>
      <c r="D119" s="32" t="s">
        <v>1084</v>
      </c>
      <c r="E119" s="32" t="s">
        <v>93</v>
      </c>
      <c r="F119" s="32" t="s">
        <v>313</v>
      </c>
      <c r="G119" s="32" t="s">
        <v>94</v>
      </c>
      <c r="H119" s="32" t="s">
        <v>400</v>
      </c>
      <c r="I119" s="35" t="s">
        <v>64</v>
      </c>
      <c r="J119" s="35" t="s">
        <v>66</v>
      </c>
      <c r="K119" s="35" t="s">
        <v>87</v>
      </c>
      <c r="L119" s="35" t="s">
        <v>87</v>
      </c>
      <c r="M119" s="35" t="s">
        <v>66</v>
      </c>
      <c r="N119" s="36" t="s">
        <v>216</v>
      </c>
      <c r="O119" s="36">
        <v>2021</v>
      </c>
      <c r="P119" s="32">
        <v>41686.44</v>
      </c>
      <c r="Q119" s="32">
        <v>22507.37</v>
      </c>
      <c r="R119" s="32">
        <v>0</v>
      </c>
      <c r="S119" s="32">
        <f t="shared" si="22"/>
        <v>19179.070000000003</v>
      </c>
    </row>
    <row r="120" spans="2:26" s="6" customFormat="1" ht="61.5" customHeight="1" x14ac:dyDescent="0.25">
      <c r="B120" s="35" t="s">
        <v>1081</v>
      </c>
      <c r="C120" s="35" t="s">
        <v>1086</v>
      </c>
      <c r="D120" s="32" t="s">
        <v>1085</v>
      </c>
      <c r="E120" s="32" t="s">
        <v>186</v>
      </c>
      <c r="F120" s="32" t="s">
        <v>313</v>
      </c>
      <c r="G120" s="32" t="s">
        <v>187</v>
      </c>
      <c r="H120" s="32" t="s">
        <v>396</v>
      </c>
      <c r="I120" s="35" t="s">
        <v>64</v>
      </c>
      <c r="J120" s="35" t="s">
        <v>66</v>
      </c>
      <c r="K120" s="35" t="s">
        <v>87</v>
      </c>
      <c r="L120" s="35" t="s">
        <v>87</v>
      </c>
      <c r="M120" s="35" t="s">
        <v>66</v>
      </c>
      <c r="N120" s="36" t="s">
        <v>1196</v>
      </c>
      <c r="O120" s="36">
        <v>2022</v>
      </c>
      <c r="P120" s="32">
        <v>42232.77</v>
      </c>
      <c r="Q120" s="32">
        <v>35897.85</v>
      </c>
      <c r="R120" s="32">
        <v>0</v>
      </c>
      <c r="S120" s="32">
        <f t="shared" si="22"/>
        <v>6334.9199999999983</v>
      </c>
    </row>
    <row r="121" spans="2:26" s="6" customFormat="1" ht="55.5" customHeight="1" x14ac:dyDescent="0.25">
      <c r="B121" s="22" t="s">
        <v>427</v>
      </c>
      <c r="C121" s="23"/>
      <c r="D121" s="24" t="s">
        <v>428</v>
      </c>
      <c r="E121" s="23"/>
      <c r="F121" s="22"/>
      <c r="G121" s="23"/>
      <c r="H121" s="24"/>
      <c r="I121" s="23"/>
      <c r="J121" s="22"/>
      <c r="K121" s="22"/>
      <c r="L121" s="23"/>
      <c r="M121" s="23"/>
      <c r="N121" s="23"/>
      <c r="O121" s="22"/>
      <c r="P121" s="51"/>
      <c r="Q121" s="52"/>
      <c r="R121" s="88"/>
      <c r="S121" s="88"/>
    </row>
    <row r="122" spans="2:26" s="6" customFormat="1" ht="132" customHeight="1" x14ac:dyDescent="0.25">
      <c r="B122" s="26" t="s">
        <v>429</v>
      </c>
      <c r="C122" s="26"/>
      <c r="D122" s="26" t="s">
        <v>430</v>
      </c>
      <c r="E122" s="26"/>
      <c r="F122" s="26"/>
      <c r="G122" s="26"/>
      <c r="H122" s="26"/>
      <c r="I122" s="26"/>
      <c r="J122" s="26"/>
      <c r="K122" s="26"/>
      <c r="L122" s="26"/>
      <c r="M122" s="26"/>
      <c r="N122" s="26"/>
      <c r="O122" s="26"/>
      <c r="P122" s="48"/>
      <c r="Q122" s="48"/>
      <c r="R122" s="48"/>
      <c r="S122" s="48"/>
    </row>
    <row r="123" spans="2:26" s="6" customFormat="1" ht="60.75" customHeight="1" x14ac:dyDescent="0.25">
      <c r="B123" s="27" t="s">
        <v>431</v>
      </c>
      <c r="C123" s="27"/>
      <c r="D123" s="27" t="s">
        <v>1071</v>
      </c>
      <c r="E123" s="27"/>
      <c r="F123" s="27"/>
      <c r="G123" s="27"/>
      <c r="H123" s="27"/>
      <c r="I123" s="27"/>
      <c r="J123" s="27"/>
      <c r="K123" s="27"/>
      <c r="L123" s="27"/>
      <c r="M123" s="27"/>
      <c r="N123" s="27"/>
      <c r="O123" s="27"/>
      <c r="P123" s="279">
        <f>P124</f>
        <v>2044376</v>
      </c>
      <c r="Q123" s="279">
        <f t="shared" ref="Q123:S123" si="23">Q124</f>
        <v>1737720</v>
      </c>
      <c r="R123" s="279">
        <f t="shared" si="23"/>
        <v>0</v>
      </c>
      <c r="S123" s="279">
        <f t="shared" si="23"/>
        <v>306656</v>
      </c>
    </row>
    <row r="124" spans="2:26" s="6" customFormat="1" ht="126" customHeight="1" x14ac:dyDescent="0.25">
      <c r="B124" s="35" t="s">
        <v>432</v>
      </c>
      <c r="C124" s="35" t="s">
        <v>433</v>
      </c>
      <c r="D124" s="29" t="s">
        <v>434</v>
      </c>
      <c r="E124" s="29" t="s">
        <v>145</v>
      </c>
      <c r="F124" s="29" t="s">
        <v>298</v>
      </c>
      <c r="G124" s="29" t="s">
        <v>146</v>
      </c>
      <c r="H124" s="29" t="s">
        <v>435</v>
      </c>
      <c r="I124" s="35" t="s">
        <v>148</v>
      </c>
      <c r="J124" s="35" t="s">
        <v>65</v>
      </c>
      <c r="K124" s="35" t="s">
        <v>87</v>
      </c>
      <c r="L124" s="35" t="s">
        <v>87</v>
      </c>
      <c r="M124" s="35" t="s">
        <v>66</v>
      </c>
      <c r="N124" s="36" t="s">
        <v>209</v>
      </c>
      <c r="O124" s="36">
        <v>2020</v>
      </c>
      <c r="P124" s="32">
        <v>2044376</v>
      </c>
      <c r="Q124" s="32">
        <v>1737720</v>
      </c>
      <c r="R124" s="32">
        <v>0</v>
      </c>
      <c r="S124" s="29">
        <f t="shared" ref="S124" si="24">P124-Q124-R124</f>
        <v>306656</v>
      </c>
    </row>
    <row r="125" spans="2:26" s="6" customFormat="1" ht="63" customHeight="1" x14ac:dyDescent="0.25">
      <c r="B125" s="26" t="s">
        <v>436</v>
      </c>
      <c r="C125" s="26"/>
      <c r="D125" s="26" t="s">
        <v>437</v>
      </c>
      <c r="E125" s="26"/>
      <c r="F125" s="26"/>
      <c r="G125" s="26"/>
      <c r="H125" s="26"/>
      <c r="I125" s="26"/>
      <c r="J125" s="26"/>
      <c r="K125" s="26"/>
      <c r="L125" s="26"/>
      <c r="M125" s="26"/>
      <c r="N125" s="26"/>
      <c r="O125" s="26"/>
      <c r="P125" s="48"/>
      <c r="Q125" s="48"/>
      <c r="R125" s="48"/>
      <c r="S125" s="48"/>
    </row>
    <row r="126" spans="2:26" s="6" customFormat="1" ht="78" customHeight="1" x14ac:dyDescent="0.25">
      <c r="B126" s="27" t="s">
        <v>438</v>
      </c>
      <c r="C126" s="27"/>
      <c r="D126" s="27" t="s">
        <v>439</v>
      </c>
      <c r="E126" s="27"/>
      <c r="F126" s="27"/>
      <c r="G126" s="27"/>
      <c r="H126" s="27"/>
      <c r="I126" s="27"/>
      <c r="J126" s="27"/>
      <c r="K126" s="27"/>
      <c r="L126" s="27"/>
      <c r="M126" s="27"/>
      <c r="N126" s="27"/>
      <c r="O126" s="27"/>
      <c r="P126" s="50"/>
      <c r="Q126" s="50"/>
      <c r="R126" s="50"/>
      <c r="S126" s="50"/>
    </row>
    <row r="127" spans="2:26" s="6" customFormat="1" ht="101.25" customHeight="1" x14ac:dyDescent="0.25">
      <c r="B127" s="26" t="s">
        <v>440</v>
      </c>
      <c r="C127" s="26"/>
      <c r="D127" s="26" t="s">
        <v>441</v>
      </c>
      <c r="E127" s="26"/>
      <c r="F127" s="26"/>
      <c r="G127" s="26"/>
      <c r="H127" s="26"/>
      <c r="I127" s="26"/>
      <c r="J127" s="26"/>
      <c r="K127" s="26"/>
      <c r="L127" s="26"/>
      <c r="M127" s="26"/>
      <c r="N127" s="26"/>
      <c r="O127" s="26"/>
      <c r="P127" s="48"/>
      <c r="Q127" s="48"/>
      <c r="R127" s="48"/>
      <c r="S127" s="48"/>
    </row>
    <row r="128" spans="2:26" s="6" customFormat="1" ht="92.25" customHeight="1" x14ac:dyDescent="0.25">
      <c r="B128" s="27" t="s">
        <v>442</v>
      </c>
      <c r="C128" s="27"/>
      <c r="D128" s="27" t="s">
        <v>443</v>
      </c>
      <c r="E128" s="27"/>
      <c r="F128" s="27"/>
      <c r="G128" s="27"/>
      <c r="H128" s="27"/>
      <c r="I128" s="27"/>
      <c r="J128" s="27"/>
      <c r="K128" s="27"/>
      <c r="L128" s="27"/>
      <c r="M128" s="27"/>
      <c r="N128" s="27"/>
      <c r="O128" s="27"/>
      <c r="P128" s="279">
        <f>P129</f>
        <v>7000000</v>
      </c>
      <c r="Q128" s="279">
        <f t="shared" ref="Q128:S128" si="25">Q129</f>
        <v>0</v>
      </c>
      <c r="R128" s="279">
        <f t="shared" si="25"/>
        <v>0</v>
      </c>
      <c r="S128" s="279">
        <f t="shared" si="25"/>
        <v>7000000</v>
      </c>
    </row>
    <row r="129" spans="2:24" s="33" customFormat="1" ht="42.75" customHeight="1" x14ac:dyDescent="0.25">
      <c r="B129" s="35" t="s">
        <v>444</v>
      </c>
      <c r="C129" s="35" t="s">
        <v>445</v>
      </c>
      <c r="D129" s="35" t="s">
        <v>446</v>
      </c>
      <c r="E129" s="35" t="s">
        <v>447</v>
      </c>
      <c r="F129" s="39" t="s">
        <v>66</v>
      </c>
      <c r="G129" s="35" t="s">
        <v>208</v>
      </c>
      <c r="H129" s="39" t="s">
        <v>66</v>
      </c>
      <c r="I129" s="39" t="s">
        <v>448</v>
      </c>
      <c r="J129" s="39" t="s">
        <v>66</v>
      </c>
      <c r="K129" s="39" t="s">
        <v>31</v>
      </c>
      <c r="L129" s="39" t="s">
        <v>66</v>
      </c>
      <c r="M129" s="39" t="s">
        <v>66</v>
      </c>
      <c r="N129" s="40" t="s">
        <v>449</v>
      </c>
      <c r="O129" s="35">
        <v>2019</v>
      </c>
      <c r="P129" s="32">
        <v>7000000</v>
      </c>
      <c r="Q129" s="32">
        <v>0</v>
      </c>
      <c r="R129" s="32">
        <v>0</v>
      </c>
      <c r="S129" s="29">
        <f t="shared" ref="S129" si="26">P129-Q129-R129</f>
        <v>7000000</v>
      </c>
      <c r="T129" s="6"/>
      <c r="U129" s="6"/>
      <c r="V129" s="6"/>
      <c r="W129" s="6"/>
      <c r="X129" s="6"/>
    </row>
    <row r="130" spans="2:24" s="6" customFormat="1" ht="76.5" customHeight="1" x14ac:dyDescent="0.25">
      <c r="B130" s="41" t="s">
        <v>450</v>
      </c>
      <c r="C130" s="41"/>
      <c r="D130" s="21" t="s">
        <v>451</v>
      </c>
      <c r="E130" s="41"/>
      <c r="F130" s="41"/>
      <c r="G130" s="41"/>
      <c r="H130" s="41"/>
      <c r="I130" s="41"/>
      <c r="J130" s="41"/>
      <c r="K130" s="41"/>
      <c r="L130" s="41"/>
      <c r="M130" s="41"/>
      <c r="N130" s="41"/>
      <c r="O130" s="41"/>
      <c r="P130" s="65"/>
      <c r="Q130" s="65"/>
      <c r="R130" s="65"/>
      <c r="S130" s="65"/>
    </row>
    <row r="131" spans="2:24" s="6" customFormat="1" ht="81.75" customHeight="1" x14ac:dyDescent="0.25">
      <c r="B131" s="22" t="s">
        <v>452</v>
      </c>
      <c r="C131" s="23"/>
      <c r="D131" s="24" t="s">
        <v>453</v>
      </c>
      <c r="E131" s="23"/>
      <c r="F131" s="22"/>
      <c r="G131" s="22"/>
      <c r="H131" s="23"/>
      <c r="I131" s="24"/>
      <c r="J131" s="23"/>
      <c r="K131" s="23"/>
      <c r="L131" s="22"/>
      <c r="M131" s="22"/>
      <c r="N131" s="22"/>
      <c r="O131" s="22"/>
      <c r="P131" s="88"/>
      <c r="Q131" s="88"/>
      <c r="R131" s="51"/>
      <c r="S131" s="51"/>
    </row>
    <row r="132" spans="2:24" s="6" customFormat="1" ht="66.75" customHeight="1" x14ac:dyDescent="0.25">
      <c r="B132" s="26" t="s">
        <v>454</v>
      </c>
      <c r="C132" s="26"/>
      <c r="D132" s="26" t="s">
        <v>455</v>
      </c>
      <c r="E132" s="26"/>
      <c r="F132" s="26"/>
      <c r="G132" s="26"/>
      <c r="H132" s="26"/>
      <c r="I132" s="26"/>
      <c r="J132" s="26"/>
      <c r="K132" s="26"/>
      <c r="L132" s="26"/>
      <c r="M132" s="26"/>
      <c r="N132" s="26"/>
      <c r="O132" s="26"/>
      <c r="P132" s="48"/>
      <c r="Q132" s="48"/>
      <c r="R132" s="48"/>
      <c r="S132" s="48"/>
    </row>
    <row r="133" spans="2:24" s="6" customFormat="1" ht="127.5" customHeight="1" x14ac:dyDescent="0.25">
      <c r="B133" s="27" t="s">
        <v>456</v>
      </c>
      <c r="C133" s="27"/>
      <c r="D133" s="27" t="s">
        <v>457</v>
      </c>
      <c r="E133" s="27"/>
      <c r="F133" s="27"/>
      <c r="G133" s="27"/>
      <c r="H133" s="27"/>
      <c r="I133" s="27"/>
      <c r="J133" s="27"/>
      <c r="K133" s="27"/>
      <c r="L133" s="27"/>
      <c r="M133" s="27"/>
      <c r="N133" s="27"/>
      <c r="O133" s="27"/>
      <c r="P133" s="279">
        <f>P134+P135</f>
        <v>972261.09</v>
      </c>
      <c r="Q133" s="279">
        <f t="shared" ref="Q133:S133" si="27">Q134+Q135</f>
        <v>826421.91999999993</v>
      </c>
      <c r="R133" s="279">
        <f t="shared" si="27"/>
        <v>72919.58</v>
      </c>
      <c r="S133" s="279">
        <f t="shared" si="27"/>
        <v>72919.589999999982</v>
      </c>
    </row>
    <row r="134" spans="2:24" s="6" customFormat="1" ht="87" customHeight="1" x14ac:dyDescent="0.25">
      <c r="B134" s="35" t="s">
        <v>458</v>
      </c>
      <c r="C134" s="35" t="s">
        <v>459</v>
      </c>
      <c r="D134" s="29" t="s">
        <v>460</v>
      </c>
      <c r="E134" s="29" t="s">
        <v>152</v>
      </c>
      <c r="F134" s="29" t="s">
        <v>1221</v>
      </c>
      <c r="G134" s="29" t="s">
        <v>204</v>
      </c>
      <c r="H134" s="29" t="s">
        <v>462</v>
      </c>
      <c r="I134" s="35" t="s">
        <v>64</v>
      </c>
      <c r="J134" s="35" t="s">
        <v>65</v>
      </c>
      <c r="K134" s="39" t="s">
        <v>66</v>
      </c>
      <c r="L134" s="39" t="s">
        <v>66</v>
      </c>
      <c r="M134" s="39" t="s">
        <v>66</v>
      </c>
      <c r="N134" s="36" t="s">
        <v>236</v>
      </c>
      <c r="O134" s="36">
        <v>2020</v>
      </c>
      <c r="P134" s="32">
        <v>609261.09</v>
      </c>
      <c r="Q134" s="32">
        <v>517871.92</v>
      </c>
      <c r="R134" s="32">
        <v>45694.58</v>
      </c>
      <c r="S134" s="29">
        <f t="shared" ref="S134:S135" si="28">P134-Q134-R134</f>
        <v>45694.589999999982</v>
      </c>
    </row>
    <row r="135" spans="2:24" s="6" customFormat="1" ht="71.25" customHeight="1" x14ac:dyDescent="0.25">
      <c r="B135" s="35" t="s">
        <v>1222</v>
      </c>
      <c r="C135" s="35" t="s">
        <v>1223</v>
      </c>
      <c r="D135" s="32" t="s">
        <v>1224</v>
      </c>
      <c r="E135" s="32" t="s">
        <v>152</v>
      </c>
      <c r="F135" s="32" t="s">
        <v>1221</v>
      </c>
      <c r="G135" s="32" t="s">
        <v>204</v>
      </c>
      <c r="H135" s="32" t="s">
        <v>462</v>
      </c>
      <c r="I135" s="35" t="s">
        <v>64</v>
      </c>
      <c r="J135" s="35" t="s">
        <v>66</v>
      </c>
      <c r="K135" s="39" t="s">
        <v>66</v>
      </c>
      <c r="L135" s="39" t="s">
        <v>66</v>
      </c>
      <c r="M135" s="39" t="s">
        <v>66</v>
      </c>
      <c r="N135" s="36">
        <v>2020</v>
      </c>
      <c r="O135" s="36">
        <v>2022</v>
      </c>
      <c r="P135" s="32">
        <v>363000</v>
      </c>
      <c r="Q135" s="32">
        <v>308550</v>
      </c>
      <c r="R135" s="32">
        <v>27225</v>
      </c>
      <c r="S135" s="32">
        <f t="shared" si="28"/>
        <v>27225</v>
      </c>
    </row>
    <row r="136" spans="2:24" s="6" customFormat="1" ht="67.5" customHeight="1" x14ac:dyDescent="0.25">
      <c r="B136" s="27" t="s">
        <v>463</v>
      </c>
      <c r="C136" s="27"/>
      <c r="D136" s="27" t="s">
        <v>464</v>
      </c>
      <c r="E136" s="27"/>
      <c r="F136" s="27"/>
      <c r="G136" s="27"/>
      <c r="H136" s="27"/>
      <c r="I136" s="27"/>
      <c r="J136" s="27"/>
      <c r="K136" s="27"/>
      <c r="L136" s="27"/>
      <c r="M136" s="27"/>
      <c r="N136" s="27"/>
      <c r="O136" s="27"/>
      <c r="P136" s="279">
        <f>P137+P138+P139</f>
        <v>1226029.76</v>
      </c>
      <c r="Q136" s="279">
        <f t="shared" ref="Q136:S136" si="29">Q137+Q138+Q139</f>
        <v>830529</v>
      </c>
      <c r="R136" s="279">
        <f t="shared" si="29"/>
        <v>73280.649999999994</v>
      </c>
      <c r="S136" s="279">
        <f t="shared" si="29"/>
        <v>322220.11000000004</v>
      </c>
    </row>
    <row r="137" spans="2:24" s="6" customFormat="1" ht="168" customHeight="1" x14ac:dyDescent="0.25">
      <c r="B137" s="35" t="s">
        <v>465</v>
      </c>
      <c r="C137" s="35" t="s">
        <v>466</v>
      </c>
      <c r="D137" s="32" t="s">
        <v>467</v>
      </c>
      <c r="E137" s="29" t="s">
        <v>60</v>
      </c>
      <c r="F137" s="29" t="s">
        <v>461</v>
      </c>
      <c r="G137" s="29" t="s">
        <v>73</v>
      </c>
      <c r="H137" s="29" t="s">
        <v>468</v>
      </c>
      <c r="I137" s="35" t="s">
        <v>64</v>
      </c>
      <c r="J137" s="35" t="s">
        <v>65</v>
      </c>
      <c r="K137" s="39" t="s">
        <v>66</v>
      </c>
      <c r="L137" s="39" t="s">
        <v>66</v>
      </c>
      <c r="M137" s="39" t="s">
        <v>66</v>
      </c>
      <c r="N137" s="36" t="s">
        <v>449</v>
      </c>
      <c r="O137" s="36">
        <v>2020</v>
      </c>
      <c r="P137" s="32">
        <v>506137.67</v>
      </c>
      <c r="Q137" s="32">
        <v>276000</v>
      </c>
      <c r="R137" s="32">
        <v>24352</v>
      </c>
      <c r="S137" s="29">
        <v>205785.67</v>
      </c>
    </row>
    <row r="138" spans="2:24" s="6" customFormat="1" ht="69" customHeight="1" x14ac:dyDescent="0.25">
      <c r="B138" s="35" t="s">
        <v>469</v>
      </c>
      <c r="C138" s="35" t="s">
        <v>470</v>
      </c>
      <c r="D138" s="29" t="s">
        <v>471</v>
      </c>
      <c r="E138" s="29" t="s">
        <v>93</v>
      </c>
      <c r="F138" s="29" t="s">
        <v>461</v>
      </c>
      <c r="G138" s="29" t="s">
        <v>94</v>
      </c>
      <c r="H138" s="29" t="s">
        <v>468</v>
      </c>
      <c r="I138" s="35" t="s">
        <v>64</v>
      </c>
      <c r="J138" s="39" t="s">
        <v>66</v>
      </c>
      <c r="K138" s="39" t="s">
        <v>66</v>
      </c>
      <c r="L138" s="39" t="s">
        <v>66</v>
      </c>
      <c r="M138" s="39" t="s">
        <v>66</v>
      </c>
      <c r="N138" s="36" t="s">
        <v>472</v>
      </c>
      <c r="O138" s="36">
        <v>2019</v>
      </c>
      <c r="P138" s="32">
        <v>361401</v>
      </c>
      <c r="Q138" s="32">
        <v>282125</v>
      </c>
      <c r="R138" s="32">
        <v>24893</v>
      </c>
      <c r="S138" s="29">
        <f t="shared" ref="S138:S139" si="30">P138-Q138-R138</f>
        <v>54383</v>
      </c>
    </row>
    <row r="139" spans="2:24" s="6" customFormat="1" ht="64.5" customHeight="1" x14ac:dyDescent="0.25">
      <c r="B139" s="35" t="s">
        <v>473</v>
      </c>
      <c r="C139" s="35" t="s">
        <v>474</v>
      </c>
      <c r="D139" s="29" t="s">
        <v>475</v>
      </c>
      <c r="E139" s="29" t="s">
        <v>138</v>
      </c>
      <c r="F139" s="29" t="s">
        <v>461</v>
      </c>
      <c r="G139" s="29" t="s">
        <v>162</v>
      </c>
      <c r="H139" s="29" t="s">
        <v>468</v>
      </c>
      <c r="I139" s="35" t="s">
        <v>64</v>
      </c>
      <c r="J139" s="39" t="s">
        <v>66</v>
      </c>
      <c r="K139" s="39" t="s">
        <v>66</v>
      </c>
      <c r="L139" s="39" t="s">
        <v>66</v>
      </c>
      <c r="M139" s="39" t="s">
        <v>66</v>
      </c>
      <c r="N139" s="36" t="s">
        <v>472</v>
      </c>
      <c r="O139" s="36">
        <v>2019</v>
      </c>
      <c r="P139" s="32">
        <v>358491.09</v>
      </c>
      <c r="Q139" s="32">
        <v>272404</v>
      </c>
      <c r="R139" s="32">
        <v>24035.65</v>
      </c>
      <c r="S139" s="29">
        <f t="shared" si="30"/>
        <v>62051.440000000024</v>
      </c>
    </row>
    <row r="140" spans="2:24" s="6" customFormat="1" ht="84.75" customHeight="1" x14ac:dyDescent="0.25">
      <c r="B140" s="26" t="s">
        <v>476</v>
      </c>
      <c r="C140" s="26"/>
      <c r="D140" s="26" t="s">
        <v>477</v>
      </c>
      <c r="E140" s="26"/>
      <c r="F140" s="26"/>
      <c r="G140" s="26" t="s">
        <v>478</v>
      </c>
      <c r="H140" s="26"/>
      <c r="I140" s="26"/>
      <c r="J140" s="26"/>
      <c r="K140" s="26"/>
      <c r="L140" s="26"/>
      <c r="M140" s="26"/>
      <c r="N140" s="26"/>
      <c r="O140" s="26"/>
      <c r="P140" s="48"/>
      <c r="Q140" s="48"/>
      <c r="R140" s="48"/>
      <c r="S140" s="48"/>
    </row>
    <row r="141" spans="2:24" s="6" customFormat="1" ht="112.5" customHeight="1" x14ac:dyDescent="0.25">
      <c r="B141" s="27" t="s">
        <v>479</v>
      </c>
      <c r="C141" s="27"/>
      <c r="D141" s="27" t="s">
        <v>480</v>
      </c>
      <c r="E141" s="27"/>
      <c r="F141" s="27"/>
      <c r="G141" s="27"/>
      <c r="H141" s="27"/>
      <c r="I141" s="27"/>
      <c r="J141" s="27"/>
      <c r="K141" s="27"/>
      <c r="L141" s="27"/>
      <c r="M141" s="27"/>
      <c r="N141" s="27"/>
      <c r="O141" s="27"/>
      <c r="P141" s="279">
        <f>P142+P143</f>
        <v>1666630.9</v>
      </c>
      <c r="Q141" s="279">
        <f t="shared" ref="Q141:S141" si="31">Q142+Q143</f>
        <v>1404711</v>
      </c>
      <c r="R141" s="279">
        <f t="shared" si="31"/>
        <v>0</v>
      </c>
      <c r="S141" s="279">
        <f t="shared" si="31"/>
        <v>261919.89999999991</v>
      </c>
    </row>
    <row r="142" spans="2:24" s="6" customFormat="1" ht="163.5" customHeight="1" x14ac:dyDescent="0.25">
      <c r="B142" s="35" t="s">
        <v>481</v>
      </c>
      <c r="C142" s="35" t="s">
        <v>482</v>
      </c>
      <c r="D142" s="29" t="s">
        <v>483</v>
      </c>
      <c r="E142" s="29" t="s">
        <v>60</v>
      </c>
      <c r="F142" s="29" t="s">
        <v>461</v>
      </c>
      <c r="G142" s="29" t="s">
        <v>62</v>
      </c>
      <c r="H142" s="29" t="s">
        <v>484</v>
      </c>
      <c r="I142" s="35" t="s">
        <v>64</v>
      </c>
      <c r="J142" s="35" t="s">
        <v>65</v>
      </c>
      <c r="K142" s="39" t="s">
        <v>66</v>
      </c>
      <c r="L142" s="39" t="s">
        <v>66</v>
      </c>
      <c r="M142" s="39" t="s">
        <v>66</v>
      </c>
      <c r="N142" s="36" t="s">
        <v>472</v>
      </c>
      <c r="O142" s="36">
        <v>2020</v>
      </c>
      <c r="P142" s="32">
        <v>320628</v>
      </c>
      <c r="Q142" s="32">
        <v>272533</v>
      </c>
      <c r="R142" s="32">
        <v>0</v>
      </c>
      <c r="S142" s="29">
        <f t="shared" ref="S142:S143" si="32">P142-Q142-R142</f>
        <v>48095</v>
      </c>
    </row>
    <row r="143" spans="2:24" s="6" customFormat="1" ht="89.25" customHeight="1" x14ac:dyDescent="0.25">
      <c r="B143" s="35" t="s">
        <v>485</v>
      </c>
      <c r="C143" s="35" t="s">
        <v>486</v>
      </c>
      <c r="D143" s="29" t="s">
        <v>487</v>
      </c>
      <c r="E143" s="29" t="s">
        <v>102</v>
      </c>
      <c r="F143" s="29" t="s">
        <v>488</v>
      </c>
      <c r="G143" s="29" t="s">
        <v>103</v>
      </c>
      <c r="H143" s="29" t="s">
        <v>484</v>
      </c>
      <c r="I143" s="35" t="s">
        <v>86</v>
      </c>
      <c r="J143" s="35" t="s">
        <v>30</v>
      </c>
      <c r="K143" s="39" t="s">
        <v>66</v>
      </c>
      <c r="L143" s="39" t="s">
        <v>66</v>
      </c>
      <c r="M143" s="39" t="s">
        <v>66</v>
      </c>
      <c r="N143" s="36" t="s">
        <v>110</v>
      </c>
      <c r="O143" s="36">
        <v>2020</v>
      </c>
      <c r="P143" s="32">
        <v>1346002.9</v>
      </c>
      <c r="Q143" s="32">
        <v>1132178</v>
      </c>
      <c r="R143" s="32">
        <v>0</v>
      </c>
      <c r="S143" s="29">
        <f t="shared" si="32"/>
        <v>213824.89999999991</v>
      </c>
    </row>
    <row r="144" spans="2:24" s="6" customFormat="1" ht="150.75" customHeight="1" x14ac:dyDescent="0.25">
      <c r="B144" s="22" t="s">
        <v>489</v>
      </c>
      <c r="C144" s="23"/>
      <c r="D144" s="24" t="s">
        <v>490</v>
      </c>
      <c r="E144" s="23"/>
      <c r="F144" s="22"/>
      <c r="G144" s="22"/>
      <c r="H144" s="23"/>
      <c r="I144" s="24"/>
      <c r="J144" s="23"/>
      <c r="K144" s="23"/>
      <c r="L144" s="22"/>
      <c r="M144" s="22"/>
      <c r="N144" s="22"/>
      <c r="O144" s="22"/>
      <c r="P144" s="88"/>
      <c r="Q144" s="88"/>
      <c r="R144" s="51"/>
      <c r="S144" s="51"/>
    </row>
    <row r="145" spans="2:24" s="6" customFormat="1" ht="156" customHeight="1" x14ac:dyDescent="0.25">
      <c r="B145" s="26" t="s">
        <v>491</v>
      </c>
      <c r="C145" s="26"/>
      <c r="D145" s="26" t="s">
        <v>492</v>
      </c>
      <c r="E145" s="26"/>
      <c r="F145" s="26"/>
      <c r="G145" s="26"/>
      <c r="H145" s="26"/>
      <c r="I145" s="26"/>
      <c r="J145" s="26"/>
      <c r="K145" s="26"/>
      <c r="L145" s="26"/>
      <c r="M145" s="26"/>
      <c r="N145" s="26"/>
      <c r="O145" s="26"/>
      <c r="P145" s="48"/>
      <c r="Q145" s="48"/>
      <c r="R145" s="48"/>
      <c r="S145" s="48"/>
    </row>
    <row r="146" spans="2:24" s="6" customFormat="1" ht="98.25" customHeight="1" x14ac:dyDescent="0.25">
      <c r="B146" s="27" t="s">
        <v>493</v>
      </c>
      <c r="C146" s="27"/>
      <c r="D146" s="27" t="s">
        <v>494</v>
      </c>
      <c r="E146" s="27"/>
      <c r="F146" s="27"/>
      <c r="G146" s="27"/>
      <c r="H146" s="27"/>
      <c r="I146" s="27"/>
      <c r="J146" s="27"/>
      <c r="K146" s="27"/>
      <c r="L146" s="27"/>
      <c r="M146" s="27"/>
      <c r="N146" s="27"/>
      <c r="O146" s="27"/>
      <c r="P146" s="294">
        <f>P147+P148+P149+P150+P151+P152+P153+P154+P155</f>
        <v>1285055.21</v>
      </c>
      <c r="Q146" s="294">
        <f t="shared" ref="Q146:S146" si="33">Q147+Q148+Q149+Q150+Q151+Q152+Q153+Q154+Q155</f>
        <v>1091409.42</v>
      </c>
      <c r="R146" s="294">
        <f t="shared" si="33"/>
        <v>93245.64</v>
      </c>
      <c r="S146" s="294">
        <f t="shared" si="33"/>
        <v>100400.15000000002</v>
      </c>
    </row>
    <row r="147" spans="2:24" s="6" customFormat="1" ht="89.25" customHeight="1" x14ac:dyDescent="0.25">
      <c r="B147" s="35" t="s">
        <v>495</v>
      </c>
      <c r="C147" s="35" t="s">
        <v>496</v>
      </c>
      <c r="D147" s="35" t="s">
        <v>497</v>
      </c>
      <c r="E147" s="35" t="s">
        <v>498</v>
      </c>
      <c r="F147" s="35" t="s">
        <v>499</v>
      </c>
      <c r="G147" s="35" t="s">
        <v>62</v>
      </c>
      <c r="H147" s="35" t="s">
        <v>500</v>
      </c>
      <c r="I147" s="35" t="s">
        <v>64</v>
      </c>
      <c r="J147" s="39" t="s">
        <v>66</v>
      </c>
      <c r="K147" s="39" t="s">
        <v>66</v>
      </c>
      <c r="L147" s="39" t="s">
        <v>66</v>
      </c>
      <c r="M147" s="39" t="s">
        <v>66</v>
      </c>
      <c r="N147" s="36" t="s">
        <v>422</v>
      </c>
      <c r="O147" s="36">
        <v>2019</v>
      </c>
      <c r="P147" s="32">
        <v>244033.66</v>
      </c>
      <c r="Q147" s="32">
        <v>207428.61</v>
      </c>
      <c r="R147" s="32">
        <v>18302.52</v>
      </c>
      <c r="S147" s="29">
        <f t="shared" ref="S147:S155" si="34">P147-Q147-R147</f>
        <v>18302.530000000017</v>
      </c>
    </row>
    <row r="148" spans="2:24" s="6" customFormat="1" ht="130.5" customHeight="1" x14ac:dyDescent="0.25">
      <c r="B148" s="35" t="s">
        <v>501</v>
      </c>
      <c r="C148" s="35" t="s">
        <v>502</v>
      </c>
      <c r="D148" s="35" t="s">
        <v>503</v>
      </c>
      <c r="E148" s="35" t="s">
        <v>504</v>
      </c>
      <c r="F148" s="35" t="s">
        <v>499</v>
      </c>
      <c r="G148" s="35" t="s">
        <v>162</v>
      </c>
      <c r="H148" s="35" t="s">
        <v>500</v>
      </c>
      <c r="I148" s="35" t="s">
        <v>64</v>
      </c>
      <c r="J148" s="39" t="s">
        <v>66</v>
      </c>
      <c r="K148" s="39" t="s">
        <v>66</v>
      </c>
      <c r="L148" s="39" t="s">
        <v>66</v>
      </c>
      <c r="M148" s="39" t="s">
        <v>66</v>
      </c>
      <c r="N148" s="36" t="s">
        <v>98</v>
      </c>
      <c r="O148" s="36">
        <v>2020</v>
      </c>
      <c r="P148" s="32">
        <v>106554.33</v>
      </c>
      <c r="Q148" s="32">
        <v>90571.18</v>
      </c>
      <c r="R148" s="32">
        <v>7409.66</v>
      </c>
      <c r="S148" s="29">
        <f t="shared" si="34"/>
        <v>8573.4900000000089</v>
      </c>
    </row>
    <row r="149" spans="2:24" s="6" customFormat="1" ht="151.5" customHeight="1" x14ac:dyDescent="0.25">
      <c r="B149" s="35" t="s">
        <v>505</v>
      </c>
      <c r="C149" s="35" t="s">
        <v>506</v>
      </c>
      <c r="D149" s="35" t="s">
        <v>507</v>
      </c>
      <c r="E149" s="35" t="s">
        <v>508</v>
      </c>
      <c r="F149" s="35" t="s">
        <v>499</v>
      </c>
      <c r="G149" s="35" t="s">
        <v>162</v>
      </c>
      <c r="H149" s="35" t="s">
        <v>500</v>
      </c>
      <c r="I149" s="35" t="s">
        <v>64</v>
      </c>
      <c r="J149" s="39" t="s">
        <v>66</v>
      </c>
      <c r="K149" s="39" t="s">
        <v>66</v>
      </c>
      <c r="L149" s="39" t="s">
        <v>66</v>
      </c>
      <c r="M149" s="39" t="s">
        <v>66</v>
      </c>
      <c r="N149" s="36" t="s">
        <v>182</v>
      </c>
      <c r="O149" s="36">
        <v>2019</v>
      </c>
      <c r="P149" s="32">
        <v>86991.45</v>
      </c>
      <c r="Q149" s="32">
        <v>73942.73</v>
      </c>
      <c r="R149" s="32">
        <v>6524.36</v>
      </c>
      <c r="S149" s="32">
        <f t="shared" si="34"/>
        <v>6524.3600000000015</v>
      </c>
    </row>
    <row r="150" spans="2:24" s="6" customFormat="1" ht="129" customHeight="1" x14ac:dyDescent="0.25">
      <c r="B150" s="35" t="s">
        <v>509</v>
      </c>
      <c r="C150" s="35" t="s">
        <v>510</v>
      </c>
      <c r="D150" s="35" t="s">
        <v>511</v>
      </c>
      <c r="E150" s="35" t="s">
        <v>512</v>
      </c>
      <c r="F150" s="35" t="s">
        <v>499</v>
      </c>
      <c r="G150" s="35" t="s">
        <v>289</v>
      </c>
      <c r="H150" s="35" t="s">
        <v>500</v>
      </c>
      <c r="I150" s="35" t="s">
        <v>64</v>
      </c>
      <c r="J150" s="39" t="s">
        <v>66</v>
      </c>
      <c r="K150" s="39" t="s">
        <v>66</v>
      </c>
      <c r="L150" s="39" t="s">
        <v>66</v>
      </c>
      <c r="M150" s="39" t="s">
        <v>66</v>
      </c>
      <c r="N150" s="36" t="s">
        <v>422</v>
      </c>
      <c r="O150" s="36">
        <v>2020</v>
      </c>
      <c r="P150" s="53">
        <v>180196.81</v>
      </c>
      <c r="Q150" s="53">
        <v>153167.29</v>
      </c>
      <c r="R150" s="32">
        <v>13514.75</v>
      </c>
      <c r="S150" s="29">
        <f t="shared" si="34"/>
        <v>13514.76999999999</v>
      </c>
    </row>
    <row r="151" spans="2:24" s="6" customFormat="1" ht="159" customHeight="1" x14ac:dyDescent="0.25">
      <c r="B151" s="35" t="s">
        <v>513</v>
      </c>
      <c r="C151" s="35" t="s">
        <v>514</v>
      </c>
      <c r="D151" s="35" t="s">
        <v>515</v>
      </c>
      <c r="E151" s="35" t="s">
        <v>516</v>
      </c>
      <c r="F151" s="35" t="s">
        <v>499</v>
      </c>
      <c r="G151" s="35" t="s">
        <v>153</v>
      </c>
      <c r="H151" s="35" t="s">
        <v>500</v>
      </c>
      <c r="I151" s="35" t="s">
        <v>64</v>
      </c>
      <c r="J151" s="39" t="s">
        <v>66</v>
      </c>
      <c r="K151" s="39" t="s">
        <v>66</v>
      </c>
      <c r="L151" s="39" t="s">
        <v>66</v>
      </c>
      <c r="M151" s="39" t="s">
        <v>66</v>
      </c>
      <c r="N151" s="36" t="s">
        <v>342</v>
      </c>
      <c r="O151" s="36">
        <v>2021</v>
      </c>
      <c r="P151" s="32">
        <v>294117.65000000002</v>
      </c>
      <c r="Q151" s="53">
        <v>250000</v>
      </c>
      <c r="R151" s="32">
        <v>22058.82</v>
      </c>
      <c r="S151" s="29">
        <f t="shared" si="34"/>
        <v>22058.830000000024</v>
      </c>
    </row>
    <row r="152" spans="2:24" s="6" customFormat="1" ht="79.5" customHeight="1" x14ac:dyDescent="0.25">
      <c r="B152" s="35" t="s">
        <v>517</v>
      </c>
      <c r="C152" s="35" t="s">
        <v>518</v>
      </c>
      <c r="D152" s="35" t="s">
        <v>519</v>
      </c>
      <c r="E152" s="35" t="s">
        <v>520</v>
      </c>
      <c r="F152" s="35" t="s">
        <v>499</v>
      </c>
      <c r="G152" s="35" t="s">
        <v>153</v>
      </c>
      <c r="H152" s="35" t="s">
        <v>500</v>
      </c>
      <c r="I152" s="35" t="s">
        <v>64</v>
      </c>
      <c r="J152" s="39" t="s">
        <v>66</v>
      </c>
      <c r="K152" s="39" t="s">
        <v>66</v>
      </c>
      <c r="L152" s="39" t="s">
        <v>66</v>
      </c>
      <c r="M152" s="39" t="s">
        <v>66</v>
      </c>
      <c r="N152" s="36" t="s">
        <v>98</v>
      </c>
      <c r="O152" s="36">
        <v>2019</v>
      </c>
      <c r="P152" s="53">
        <v>34024.199999999997</v>
      </c>
      <c r="Q152" s="53">
        <v>28033.57</v>
      </c>
      <c r="R152" s="32">
        <v>0</v>
      </c>
      <c r="S152" s="32">
        <f t="shared" si="34"/>
        <v>5990.6299999999974</v>
      </c>
    </row>
    <row r="153" spans="2:24" s="6" customFormat="1" ht="66" customHeight="1" x14ac:dyDescent="0.25">
      <c r="B153" s="35" t="s">
        <v>521</v>
      </c>
      <c r="C153" s="35" t="s">
        <v>522</v>
      </c>
      <c r="D153" s="35" t="s">
        <v>523</v>
      </c>
      <c r="E153" s="35" t="s">
        <v>524</v>
      </c>
      <c r="F153" s="35" t="s">
        <v>499</v>
      </c>
      <c r="G153" s="35" t="s">
        <v>525</v>
      </c>
      <c r="H153" s="35" t="s">
        <v>500</v>
      </c>
      <c r="I153" s="35" t="s">
        <v>64</v>
      </c>
      <c r="J153" s="39" t="s">
        <v>66</v>
      </c>
      <c r="K153" s="39" t="s">
        <v>66</v>
      </c>
      <c r="L153" s="39" t="s">
        <v>66</v>
      </c>
      <c r="M153" s="39" t="s">
        <v>66</v>
      </c>
      <c r="N153" s="36" t="s">
        <v>422</v>
      </c>
      <c r="O153" s="36">
        <v>2020</v>
      </c>
      <c r="P153" s="53">
        <v>153580</v>
      </c>
      <c r="Q153" s="53">
        <v>130543</v>
      </c>
      <c r="R153" s="53">
        <v>11518.5</v>
      </c>
      <c r="S153" s="29">
        <f t="shared" si="34"/>
        <v>11518.5</v>
      </c>
    </row>
    <row r="154" spans="2:24" s="6" customFormat="1" ht="102" customHeight="1" x14ac:dyDescent="0.25">
      <c r="B154" s="35" t="s">
        <v>526</v>
      </c>
      <c r="C154" s="35" t="s">
        <v>527</v>
      </c>
      <c r="D154" s="35" t="s">
        <v>528</v>
      </c>
      <c r="E154" s="35" t="s">
        <v>529</v>
      </c>
      <c r="F154" s="35" t="s">
        <v>499</v>
      </c>
      <c r="G154" s="35" t="s">
        <v>530</v>
      </c>
      <c r="H154" s="35" t="s">
        <v>500</v>
      </c>
      <c r="I154" s="35" t="s">
        <v>64</v>
      </c>
      <c r="J154" s="39" t="s">
        <v>66</v>
      </c>
      <c r="K154" s="39" t="s">
        <v>66</v>
      </c>
      <c r="L154" s="39" t="s">
        <v>66</v>
      </c>
      <c r="M154" s="39" t="s">
        <v>66</v>
      </c>
      <c r="N154" s="36" t="s">
        <v>98</v>
      </c>
      <c r="O154" s="36">
        <v>2020</v>
      </c>
      <c r="P154" s="53">
        <v>163307.10999999999</v>
      </c>
      <c r="Q154" s="32">
        <v>138811.04</v>
      </c>
      <c r="R154" s="53">
        <v>12248.03</v>
      </c>
      <c r="S154" s="29">
        <f t="shared" si="34"/>
        <v>12248.039999999977</v>
      </c>
    </row>
    <row r="155" spans="2:24" s="6" customFormat="1" ht="153" customHeight="1" x14ac:dyDescent="0.25">
      <c r="B155" s="35" t="s">
        <v>1225</v>
      </c>
      <c r="C155" s="35" t="s">
        <v>1226</v>
      </c>
      <c r="D155" s="35" t="s">
        <v>1227</v>
      </c>
      <c r="E155" s="35" t="s">
        <v>1228</v>
      </c>
      <c r="F155" s="35" t="s">
        <v>499</v>
      </c>
      <c r="G155" s="35" t="s">
        <v>153</v>
      </c>
      <c r="H155" s="35" t="s">
        <v>500</v>
      </c>
      <c r="I155" s="35" t="s">
        <v>64</v>
      </c>
      <c r="J155" s="39" t="s">
        <v>66</v>
      </c>
      <c r="K155" s="39" t="s">
        <v>66</v>
      </c>
      <c r="L155" s="39" t="s">
        <v>66</v>
      </c>
      <c r="M155" s="39" t="s">
        <v>66</v>
      </c>
      <c r="N155" s="36">
        <v>2020</v>
      </c>
      <c r="O155" s="36">
        <v>2021</v>
      </c>
      <c r="P155" s="53">
        <v>22250</v>
      </c>
      <c r="Q155" s="32">
        <v>18912</v>
      </c>
      <c r="R155" s="53">
        <v>1669</v>
      </c>
      <c r="S155" s="32">
        <f t="shared" si="34"/>
        <v>1669</v>
      </c>
    </row>
    <row r="156" spans="2:24" s="33" customFormat="1" ht="81" customHeight="1" x14ac:dyDescent="0.25">
      <c r="B156" s="27" t="s">
        <v>531</v>
      </c>
      <c r="C156" s="27"/>
      <c r="D156" s="27" t="s">
        <v>532</v>
      </c>
      <c r="E156" s="27"/>
      <c r="F156" s="27"/>
      <c r="G156" s="27"/>
      <c r="H156" s="27"/>
      <c r="I156" s="27"/>
      <c r="J156" s="27"/>
      <c r="K156" s="27"/>
      <c r="L156" s="27"/>
      <c r="M156" s="27"/>
      <c r="N156" s="27"/>
      <c r="O156" s="27"/>
      <c r="P156" s="294">
        <f>P157+P158+P159+P160+P161+P162</f>
        <v>41354.43</v>
      </c>
      <c r="Q156" s="294">
        <f t="shared" ref="Q156:S156" si="35">Q157+Q158+Q159+Q160+Q161+Q162</f>
        <v>35150.640000000007</v>
      </c>
      <c r="R156" s="294">
        <f t="shared" si="35"/>
        <v>3100.69</v>
      </c>
      <c r="S156" s="294">
        <f t="shared" si="35"/>
        <v>3103.1</v>
      </c>
      <c r="T156" s="6"/>
      <c r="U156" s="6"/>
      <c r="V156" s="6"/>
      <c r="W156" s="6"/>
      <c r="X156" s="6"/>
    </row>
    <row r="157" spans="2:24" s="6" customFormat="1" ht="168" customHeight="1" x14ac:dyDescent="0.25">
      <c r="B157" s="35" t="s">
        <v>533</v>
      </c>
      <c r="C157" s="35" t="s">
        <v>534</v>
      </c>
      <c r="D157" s="32" t="s">
        <v>535</v>
      </c>
      <c r="E157" s="32" t="s">
        <v>536</v>
      </c>
      <c r="F157" s="32" t="s">
        <v>499</v>
      </c>
      <c r="G157" s="32" t="s">
        <v>62</v>
      </c>
      <c r="H157" s="32" t="s">
        <v>537</v>
      </c>
      <c r="I157" s="35" t="s">
        <v>64</v>
      </c>
      <c r="J157" s="39" t="s">
        <v>66</v>
      </c>
      <c r="K157" s="39" t="s">
        <v>66</v>
      </c>
      <c r="L157" s="39" t="s">
        <v>66</v>
      </c>
      <c r="M157" s="39" t="s">
        <v>66</v>
      </c>
      <c r="N157" s="36" t="s">
        <v>69</v>
      </c>
      <c r="O157" s="36">
        <v>2022</v>
      </c>
      <c r="P157" s="32">
        <v>13180</v>
      </c>
      <c r="Q157" s="32">
        <v>11202</v>
      </c>
      <c r="R157" s="32">
        <v>988</v>
      </c>
      <c r="S157" s="29">
        <f t="shared" ref="S157:S162" si="36">P157-Q157-R157</f>
        <v>990</v>
      </c>
    </row>
    <row r="158" spans="2:24" s="6" customFormat="1" ht="90.75" customHeight="1" x14ac:dyDescent="0.25">
      <c r="B158" s="35" t="s">
        <v>538</v>
      </c>
      <c r="C158" s="35" t="s">
        <v>539</v>
      </c>
      <c r="D158" s="29" t="s">
        <v>540</v>
      </c>
      <c r="E158" s="29" t="s">
        <v>541</v>
      </c>
      <c r="F158" s="29" t="s">
        <v>499</v>
      </c>
      <c r="G158" s="29" t="s">
        <v>162</v>
      </c>
      <c r="H158" s="29" t="s">
        <v>537</v>
      </c>
      <c r="I158" s="35" t="s">
        <v>64</v>
      </c>
      <c r="J158" s="39" t="s">
        <v>66</v>
      </c>
      <c r="K158" s="39" t="s">
        <v>66</v>
      </c>
      <c r="L158" s="39" t="s">
        <v>66</v>
      </c>
      <c r="M158" s="39" t="s">
        <v>66</v>
      </c>
      <c r="N158" s="36" t="s">
        <v>200</v>
      </c>
      <c r="O158" s="36">
        <v>2020</v>
      </c>
      <c r="P158" s="32">
        <v>6134.9299999999994</v>
      </c>
      <c r="Q158" s="32">
        <v>5214.6900000000005</v>
      </c>
      <c r="R158" s="32">
        <v>460.12</v>
      </c>
      <c r="S158" s="29">
        <f t="shared" si="36"/>
        <v>460.11999999999887</v>
      </c>
    </row>
    <row r="159" spans="2:24" s="33" customFormat="1" ht="82.5" customHeight="1" x14ac:dyDescent="0.25">
      <c r="B159" s="35" t="s">
        <v>542</v>
      </c>
      <c r="C159" s="35" t="s">
        <v>543</v>
      </c>
      <c r="D159" s="32" t="s">
        <v>544</v>
      </c>
      <c r="E159" s="32" t="s">
        <v>545</v>
      </c>
      <c r="F159" s="32" t="s">
        <v>499</v>
      </c>
      <c r="G159" s="32" t="s">
        <v>289</v>
      </c>
      <c r="H159" s="32" t="s">
        <v>537</v>
      </c>
      <c r="I159" s="35" t="s">
        <v>64</v>
      </c>
      <c r="J159" s="39" t="s">
        <v>66</v>
      </c>
      <c r="K159" s="39" t="s">
        <v>66</v>
      </c>
      <c r="L159" s="39" t="s">
        <v>66</v>
      </c>
      <c r="M159" s="39" t="s">
        <v>66</v>
      </c>
      <c r="N159" s="36" t="s">
        <v>69</v>
      </c>
      <c r="O159" s="36">
        <v>2022</v>
      </c>
      <c r="P159" s="32">
        <v>7725.47</v>
      </c>
      <c r="Q159" s="32">
        <v>6566.65</v>
      </c>
      <c r="R159" s="32">
        <v>579.4</v>
      </c>
      <c r="S159" s="29">
        <f t="shared" si="36"/>
        <v>579.42000000000064</v>
      </c>
      <c r="T159" s="6"/>
      <c r="U159" s="6"/>
      <c r="V159" s="6"/>
      <c r="W159" s="6"/>
      <c r="X159" s="6"/>
    </row>
    <row r="160" spans="2:24" s="6" customFormat="1" ht="79.5" customHeight="1" x14ac:dyDescent="0.25">
      <c r="B160" s="35" t="s">
        <v>546</v>
      </c>
      <c r="C160" s="35" t="s">
        <v>547</v>
      </c>
      <c r="D160" s="29" t="s">
        <v>548</v>
      </c>
      <c r="E160" s="29" t="s">
        <v>516</v>
      </c>
      <c r="F160" s="29" t="s">
        <v>499</v>
      </c>
      <c r="G160" s="29" t="s">
        <v>153</v>
      </c>
      <c r="H160" s="29" t="s">
        <v>537</v>
      </c>
      <c r="I160" s="35" t="s">
        <v>64</v>
      </c>
      <c r="J160" s="39" t="s">
        <v>66</v>
      </c>
      <c r="K160" s="39" t="s">
        <v>66</v>
      </c>
      <c r="L160" s="39" t="s">
        <v>66</v>
      </c>
      <c r="M160" s="39" t="s">
        <v>66</v>
      </c>
      <c r="N160" s="36" t="s">
        <v>69</v>
      </c>
      <c r="O160" s="36">
        <v>2022</v>
      </c>
      <c r="P160" s="53">
        <v>5453.27</v>
      </c>
      <c r="Q160" s="32">
        <v>4635.28</v>
      </c>
      <c r="R160" s="32">
        <v>408.99</v>
      </c>
      <c r="S160" s="29">
        <f t="shared" si="36"/>
        <v>409.00000000000068</v>
      </c>
    </row>
    <row r="161" spans="2:19" s="6" customFormat="1" ht="141.75" customHeight="1" x14ac:dyDescent="0.25">
      <c r="B161" s="35" t="s">
        <v>549</v>
      </c>
      <c r="C161" s="35" t="s">
        <v>550</v>
      </c>
      <c r="D161" s="29" t="s">
        <v>551</v>
      </c>
      <c r="E161" s="29" t="s">
        <v>529</v>
      </c>
      <c r="F161" s="29" t="s">
        <v>499</v>
      </c>
      <c r="G161" s="29" t="s">
        <v>552</v>
      </c>
      <c r="H161" s="29" t="s">
        <v>537</v>
      </c>
      <c r="I161" s="35" t="s">
        <v>64</v>
      </c>
      <c r="J161" s="39" t="s">
        <v>66</v>
      </c>
      <c r="K161" s="39" t="s">
        <v>66</v>
      </c>
      <c r="L161" s="39" t="s">
        <v>66</v>
      </c>
      <c r="M161" s="39" t="s">
        <v>66</v>
      </c>
      <c r="N161" s="36" t="s">
        <v>188</v>
      </c>
      <c r="O161" s="36">
        <v>2021</v>
      </c>
      <c r="P161" s="32">
        <v>2271.7600000000002</v>
      </c>
      <c r="Q161" s="32">
        <v>1931.38</v>
      </c>
      <c r="R161" s="32">
        <v>170</v>
      </c>
      <c r="S161" s="29">
        <f t="shared" si="36"/>
        <v>170.38000000000011</v>
      </c>
    </row>
    <row r="162" spans="2:19" s="6" customFormat="1" ht="77.25" customHeight="1" x14ac:dyDescent="0.25">
      <c r="B162" s="35" t="s">
        <v>553</v>
      </c>
      <c r="C162" s="35" t="s">
        <v>554</v>
      </c>
      <c r="D162" s="29" t="s">
        <v>555</v>
      </c>
      <c r="E162" s="29" t="s">
        <v>556</v>
      </c>
      <c r="F162" s="29" t="s">
        <v>499</v>
      </c>
      <c r="G162" s="29" t="s">
        <v>557</v>
      </c>
      <c r="H162" s="29" t="s">
        <v>537</v>
      </c>
      <c r="I162" s="35" t="s">
        <v>64</v>
      </c>
      <c r="J162" s="39" t="s">
        <v>66</v>
      </c>
      <c r="K162" s="39" t="s">
        <v>66</v>
      </c>
      <c r="L162" s="39" t="s">
        <v>66</v>
      </c>
      <c r="M162" s="39" t="s">
        <v>66</v>
      </c>
      <c r="N162" s="36" t="s">
        <v>114</v>
      </c>
      <c r="O162" s="36">
        <v>2022</v>
      </c>
      <c r="P162" s="32">
        <v>6589</v>
      </c>
      <c r="Q162" s="53">
        <v>5600.64</v>
      </c>
      <c r="R162" s="53">
        <v>494.18</v>
      </c>
      <c r="S162" s="29">
        <f t="shared" si="36"/>
        <v>494.17999999999967</v>
      </c>
    </row>
    <row r="163" spans="2:19" s="6" customFormat="1" ht="150.75" customHeight="1" x14ac:dyDescent="0.25">
      <c r="B163" s="26" t="s">
        <v>558</v>
      </c>
      <c r="C163" s="26"/>
      <c r="D163" s="26" t="s">
        <v>559</v>
      </c>
      <c r="E163" s="26"/>
      <c r="F163" s="26"/>
      <c r="G163" s="26"/>
      <c r="H163" s="26"/>
      <c r="I163" s="26"/>
      <c r="J163" s="26"/>
      <c r="K163" s="26"/>
      <c r="L163" s="26"/>
      <c r="M163" s="26"/>
      <c r="N163" s="26"/>
      <c r="O163" s="26"/>
      <c r="P163" s="48"/>
      <c r="Q163" s="48"/>
      <c r="R163" s="48"/>
      <c r="S163" s="48"/>
    </row>
    <row r="164" spans="2:19" s="6" customFormat="1" ht="80.25" customHeight="1" x14ac:dyDescent="0.25">
      <c r="B164" s="27" t="s">
        <v>560</v>
      </c>
      <c r="C164" s="27"/>
      <c r="D164" s="27" t="s">
        <v>561</v>
      </c>
      <c r="E164" s="27"/>
      <c r="F164" s="27"/>
      <c r="G164" s="27"/>
      <c r="H164" s="27"/>
      <c r="I164" s="27"/>
      <c r="J164" s="27"/>
      <c r="K164" s="27"/>
      <c r="L164" s="27"/>
      <c r="M164" s="27"/>
      <c r="N164" s="27"/>
      <c r="O164" s="27"/>
      <c r="P164" s="279">
        <f>SUM(P165:P171)</f>
        <v>988798.29000000015</v>
      </c>
      <c r="Q164" s="279">
        <f t="shared" ref="Q164:S164" si="37">SUM(Q165:Q171)</f>
        <v>840477.93</v>
      </c>
      <c r="R164" s="279">
        <f t="shared" si="37"/>
        <v>74143.92</v>
      </c>
      <c r="S164" s="279">
        <f t="shared" si="37"/>
        <v>74176.440000000031</v>
      </c>
    </row>
    <row r="165" spans="2:19" s="6" customFormat="1" ht="101.25" customHeight="1" x14ac:dyDescent="0.25">
      <c r="B165" s="35" t="s">
        <v>562</v>
      </c>
      <c r="C165" s="35" t="s">
        <v>563</v>
      </c>
      <c r="D165" s="32" t="s">
        <v>564</v>
      </c>
      <c r="E165" s="32" t="s">
        <v>565</v>
      </c>
      <c r="F165" s="32" t="s">
        <v>566</v>
      </c>
      <c r="G165" s="32" t="s">
        <v>62</v>
      </c>
      <c r="H165" s="32" t="s">
        <v>567</v>
      </c>
      <c r="I165" s="35" t="s">
        <v>64</v>
      </c>
      <c r="J165" s="39" t="s">
        <v>66</v>
      </c>
      <c r="K165" s="39" t="s">
        <v>66</v>
      </c>
      <c r="L165" s="39" t="s">
        <v>66</v>
      </c>
      <c r="M165" s="39" t="s">
        <v>66</v>
      </c>
      <c r="N165" s="36" t="s">
        <v>114</v>
      </c>
      <c r="O165" s="36">
        <v>2021</v>
      </c>
      <c r="P165" s="32">
        <v>228408.24</v>
      </c>
      <c r="Q165" s="32">
        <v>194147</v>
      </c>
      <c r="R165" s="32">
        <v>17120.240000000002</v>
      </c>
      <c r="S165" s="29">
        <f t="shared" ref="S165:S171" si="38">P165-Q165-R165</f>
        <v>17140.999999999989</v>
      </c>
    </row>
    <row r="166" spans="2:19" s="6" customFormat="1" ht="77.25" customHeight="1" x14ac:dyDescent="0.25">
      <c r="B166" s="35" t="s">
        <v>568</v>
      </c>
      <c r="C166" s="35" t="s">
        <v>569</v>
      </c>
      <c r="D166" s="32" t="s">
        <v>570</v>
      </c>
      <c r="E166" s="32" t="s">
        <v>571</v>
      </c>
      <c r="F166" s="32" t="s">
        <v>566</v>
      </c>
      <c r="G166" s="32" t="s">
        <v>289</v>
      </c>
      <c r="H166" s="32" t="s">
        <v>567</v>
      </c>
      <c r="I166" s="35" t="s">
        <v>64</v>
      </c>
      <c r="J166" s="39" t="s">
        <v>66</v>
      </c>
      <c r="K166" s="39" t="s">
        <v>66</v>
      </c>
      <c r="L166" s="39" t="s">
        <v>66</v>
      </c>
      <c r="M166" s="39" t="s">
        <v>66</v>
      </c>
      <c r="N166" s="36" t="s">
        <v>69</v>
      </c>
      <c r="O166" s="36">
        <v>2022</v>
      </c>
      <c r="P166" s="32">
        <v>207636</v>
      </c>
      <c r="Q166" s="32">
        <v>176490</v>
      </c>
      <c r="R166" s="32">
        <v>15573</v>
      </c>
      <c r="S166" s="29">
        <f t="shared" si="38"/>
        <v>15573</v>
      </c>
    </row>
    <row r="167" spans="2:19" s="6" customFormat="1" ht="123" customHeight="1" x14ac:dyDescent="0.25">
      <c r="B167" s="35" t="s">
        <v>572</v>
      </c>
      <c r="C167" s="35" t="s">
        <v>573</v>
      </c>
      <c r="D167" s="32" t="s">
        <v>574</v>
      </c>
      <c r="E167" s="32" t="s">
        <v>575</v>
      </c>
      <c r="F167" s="32" t="s">
        <v>566</v>
      </c>
      <c r="G167" s="32" t="s">
        <v>153</v>
      </c>
      <c r="H167" s="32" t="s">
        <v>567</v>
      </c>
      <c r="I167" s="35" t="s">
        <v>64</v>
      </c>
      <c r="J167" s="39" t="s">
        <v>66</v>
      </c>
      <c r="K167" s="39" t="s">
        <v>66</v>
      </c>
      <c r="L167" s="39" t="s">
        <v>66</v>
      </c>
      <c r="M167" s="39" t="s">
        <v>66</v>
      </c>
      <c r="N167" s="36" t="s">
        <v>114</v>
      </c>
      <c r="O167" s="36">
        <v>2022</v>
      </c>
      <c r="P167" s="32">
        <v>291706.14</v>
      </c>
      <c r="Q167" s="32">
        <v>247950.21</v>
      </c>
      <c r="R167" s="32">
        <v>21872.09</v>
      </c>
      <c r="S167" s="29">
        <f t="shared" si="38"/>
        <v>21883.840000000022</v>
      </c>
    </row>
    <row r="168" spans="2:19" s="6" customFormat="1" ht="69.75" customHeight="1" x14ac:dyDescent="0.25">
      <c r="B168" s="35" t="s">
        <v>576</v>
      </c>
      <c r="C168" s="35" t="s">
        <v>577</v>
      </c>
      <c r="D168" s="32" t="s">
        <v>578</v>
      </c>
      <c r="E168" s="32" t="s">
        <v>579</v>
      </c>
      <c r="F168" s="32" t="s">
        <v>566</v>
      </c>
      <c r="G168" s="32" t="s">
        <v>525</v>
      </c>
      <c r="H168" s="32" t="s">
        <v>567</v>
      </c>
      <c r="I168" s="35" t="s">
        <v>64</v>
      </c>
      <c r="J168" s="39" t="s">
        <v>66</v>
      </c>
      <c r="K168" s="39" t="s">
        <v>66</v>
      </c>
      <c r="L168" s="39" t="s">
        <v>66</v>
      </c>
      <c r="M168" s="39" t="s">
        <v>66</v>
      </c>
      <c r="N168" s="36" t="s">
        <v>69</v>
      </c>
      <c r="O168" s="36">
        <v>2021</v>
      </c>
      <c r="P168" s="32">
        <v>140294.17000000001</v>
      </c>
      <c r="Q168" s="32">
        <v>119250.04</v>
      </c>
      <c r="R168" s="32">
        <v>10522.06</v>
      </c>
      <c r="S168" s="29">
        <f t="shared" si="38"/>
        <v>10522.07000000002</v>
      </c>
    </row>
    <row r="169" spans="2:19" s="6" customFormat="1" ht="78.75" customHeight="1" x14ac:dyDescent="0.25">
      <c r="B169" s="35" t="s">
        <v>580</v>
      </c>
      <c r="C169" s="35" t="s">
        <v>581</v>
      </c>
      <c r="D169" s="32" t="s">
        <v>582</v>
      </c>
      <c r="E169" s="32" t="s">
        <v>583</v>
      </c>
      <c r="F169" s="32" t="s">
        <v>499</v>
      </c>
      <c r="G169" s="32" t="s">
        <v>162</v>
      </c>
      <c r="H169" s="32" t="s">
        <v>567</v>
      </c>
      <c r="I169" s="35" t="s">
        <v>64</v>
      </c>
      <c r="J169" s="39" t="s">
        <v>66</v>
      </c>
      <c r="K169" s="39" t="s">
        <v>66</v>
      </c>
      <c r="L169" s="39" t="s">
        <v>66</v>
      </c>
      <c r="M169" s="39" t="s">
        <v>66</v>
      </c>
      <c r="N169" s="36" t="s">
        <v>69</v>
      </c>
      <c r="O169" s="36">
        <v>2020</v>
      </c>
      <c r="P169" s="32">
        <v>46794.12</v>
      </c>
      <c r="Q169" s="32">
        <v>39775</v>
      </c>
      <c r="R169" s="32">
        <v>3509.56</v>
      </c>
      <c r="S169" s="29">
        <f t="shared" si="38"/>
        <v>3509.5600000000027</v>
      </c>
    </row>
    <row r="170" spans="2:19" s="6" customFormat="1" ht="91.5" customHeight="1" x14ac:dyDescent="0.25">
      <c r="B170" s="35" t="s">
        <v>584</v>
      </c>
      <c r="C170" s="35" t="s">
        <v>585</v>
      </c>
      <c r="D170" s="32" t="s">
        <v>586</v>
      </c>
      <c r="E170" s="32" t="s">
        <v>587</v>
      </c>
      <c r="F170" s="32" t="s">
        <v>499</v>
      </c>
      <c r="G170" s="32" t="s">
        <v>552</v>
      </c>
      <c r="H170" s="32" t="s">
        <v>567</v>
      </c>
      <c r="I170" s="35" t="s">
        <v>64</v>
      </c>
      <c r="J170" s="39" t="s">
        <v>66</v>
      </c>
      <c r="K170" s="39" t="s">
        <v>66</v>
      </c>
      <c r="L170" s="39" t="s">
        <v>66</v>
      </c>
      <c r="M170" s="39" t="s">
        <v>66</v>
      </c>
      <c r="N170" s="36" t="s">
        <v>200</v>
      </c>
      <c r="O170" s="36">
        <v>2019</v>
      </c>
      <c r="P170" s="32">
        <v>48223.44</v>
      </c>
      <c r="Q170" s="32">
        <v>40989.93</v>
      </c>
      <c r="R170" s="32">
        <v>3616.76</v>
      </c>
      <c r="S170" s="32">
        <f t="shared" si="38"/>
        <v>3616.7500000000018</v>
      </c>
    </row>
    <row r="171" spans="2:19" s="6" customFormat="1" ht="102.75" customHeight="1" x14ac:dyDescent="0.25">
      <c r="B171" s="35" t="s">
        <v>588</v>
      </c>
      <c r="C171" s="35" t="s">
        <v>589</v>
      </c>
      <c r="D171" s="32" t="s">
        <v>590</v>
      </c>
      <c r="E171" s="32" t="s">
        <v>583</v>
      </c>
      <c r="F171" s="32" t="s">
        <v>499</v>
      </c>
      <c r="G171" s="32" t="s">
        <v>162</v>
      </c>
      <c r="H171" s="32" t="s">
        <v>567</v>
      </c>
      <c r="I171" s="35" t="s">
        <v>64</v>
      </c>
      <c r="J171" s="39" t="s">
        <v>66</v>
      </c>
      <c r="K171" s="39" t="s">
        <v>66</v>
      </c>
      <c r="L171" s="39" t="s">
        <v>66</v>
      </c>
      <c r="M171" s="39" t="s">
        <v>66</v>
      </c>
      <c r="N171" s="36" t="s">
        <v>122</v>
      </c>
      <c r="O171" s="36">
        <v>2022</v>
      </c>
      <c r="P171" s="32">
        <v>25736.18</v>
      </c>
      <c r="Q171" s="32">
        <v>21875.75</v>
      </c>
      <c r="R171" s="32">
        <v>1930.21</v>
      </c>
      <c r="S171" s="29">
        <f t="shared" si="38"/>
        <v>1930.2200000000003</v>
      </c>
    </row>
    <row r="172" spans="2:19" s="6" customFormat="1" ht="141.75" customHeight="1" x14ac:dyDescent="0.25">
      <c r="B172" s="26" t="s">
        <v>591</v>
      </c>
      <c r="C172" s="26"/>
      <c r="D172" s="26" t="s">
        <v>592</v>
      </c>
      <c r="E172" s="26"/>
      <c r="F172" s="26"/>
      <c r="G172" s="26"/>
      <c r="H172" s="26"/>
      <c r="I172" s="26"/>
      <c r="J172" s="26"/>
      <c r="K172" s="26"/>
      <c r="L172" s="26"/>
      <c r="M172" s="26"/>
      <c r="N172" s="26"/>
      <c r="O172" s="26"/>
      <c r="P172" s="48"/>
      <c r="Q172" s="48"/>
      <c r="R172" s="48"/>
      <c r="S172" s="48"/>
    </row>
    <row r="173" spans="2:19" s="6" customFormat="1" ht="56.25" customHeight="1" x14ac:dyDescent="0.25">
      <c r="B173" s="27" t="s">
        <v>593</v>
      </c>
      <c r="C173" s="27"/>
      <c r="D173" s="27" t="s">
        <v>594</v>
      </c>
      <c r="E173" s="27"/>
      <c r="F173" s="27"/>
      <c r="G173" s="27"/>
      <c r="H173" s="27"/>
      <c r="I173" s="27"/>
      <c r="J173" s="27"/>
      <c r="K173" s="27"/>
      <c r="L173" s="27"/>
      <c r="M173" s="27"/>
      <c r="N173" s="27"/>
      <c r="O173" s="27"/>
      <c r="P173" s="279">
        <f>SUM(P174:P177)</f>
        <v>1222220.76</v>
      </c>
      <c r="Q173" s="279">
        <f t="shared" ref="Q173:S173" si="39">SUM(Q174:Q177)</f>
        <v>810748</v>
      </c>
      <c r="R173" s="279">
        <f t="shared" si="39"/>
        <v>0</v>
      </c>
      <c r="S173" s="279">
        <f t="shared" si="39"/>
        <v>411472.75999999995</v>
      </c>
    </row>
    <row r="174" spans="2:19" s="6" customFormat="1" ht="84" customHeight="1" x14ac:dyDescent="0.25">
      <c r="B174" s="35" t="s">
        <v>595</v>
      </c>
      <c r="C174" s="35" t="s">
        <v>596</v>
      </c>
      <c r="D174" s="32" t="s">
        <v>597</v>
      </c>
      <c r="E174" s="32" t="s">
        <v>60</v>
      </c>
      <c r="F174" s="32" t="s">
        <v>598</v>
      </c>
      <c r="G174" s="32" t="s">
        <v>73</v>
      </c>
      <c r="H174" s="32" t="s">
        <v>599</v>
      </c>
      <c r="I174" s="35" t="s">
        <v>64</v>
      </c>
      <c r="J174" s="39" t="s">
        <v>66</v>
      </c>
      <c r="K174" s="39" t="s">
        <v>66</v>
      </c>
      <c r="L174" s="39" t="s">
        <v>66</v>
      </c>
      <c r="M174" s="39" t="s">
        <v>66</v>
      </c>
      <c r="N174" s="36" t="s">
        <v>69</v>
      </c>
      <c r="O174" s="36">
        <v>2020</v>
      </c>
      <c r="P174" s="32">
        <v>99969.63</v>
      </c>
      <c r="Q174" s="32">
        <v>84974.19</v>
      </c>
      <c r="R174" s="32">
        <v>0</v>
      </c>
      <c r="S174" s="29">
        <v>14995.44</v>
      </c>
    </row>
    <row r="175" spans="2:19" s="6" customFormat="1" ht="131.25" customHeight="1" x14ac:dyDescent="0.25">
      <c r="B175" s="35" t="s">
        <v>600</v>
      </c>
      <c r="C175" s="35" t="s">
        <v>601</v>
      </c>
      <c r="D175" s="32" t="s">
        <v>602</v>
      </c>
      <c r="E175" s="32" t="s">
        <v>603</v>
      </c>
      <c r="F175" s="32" t="s">
        <v>598</v>
      </c>
      <c r="G175" s="32" t="s">
        <v>204</v>
      </c>
      <c r="H175" s="32" t="s">
        <v>599</v>
      </c>
      <c r="I175" s="35" t="s">
        <v>64</v>
      </c>
      <c r="J175" s="39" t="s">
        <v>66</v>
      </c>
      <c r="K175" s="39" t="s">
        <v>66</v>
      </c>
      <c r="L175" s="39" t="s">
        <v>66</v>
      </c>
      <c r="M175" s="39" t="s">
        <v>66</v>
      </c>
      <c r="N175" s="36" t="s">
        <v>200</v>
      </c>
      <c r="O175" s="36">
        <v>2019</v>
      </c>
      <c r="P175" s="32">
        <v>55347.3</v>
      </c>
      <c r="Q175" s="32">
        <v>47045.2</v>
      </c>
      <c r="R175" s="32">
        <v>0</v>
      </c>
      <c r="S175" s="29">
        <f t="shared" ref="S175:S177" si="40">P175-Q175-R175</f>
        <v>8302.1000000000058</v>
      </c>
    </row>
    <row r="176" spans="2:19" s="6" customFormat="1" ht="79.5" customHeight="1" x14ac:dyDescent="0.25">
      <c r="B176" s="35" t="s">
        <v>604</v>
      </c>
      <c r="C176" s="35" t="s">
        <v>605</v>
      </c>
      <c r="D176" s="32" t="s">
        <v>606</v>
      </c>
      <c r="E176" s="32" t="s">
        <v>607</v>
      </c>
      <c r="F176" s="32" t="s">
        <v>598</v>
      </c>
      <c r="G176" s="32" t="s">
        <v>187</v>
      </c>
      <c r="H176" s="32" t="s">
        <v>599</v>
      </c>
      <c r="I176" s="35" t="s">
        <v>64</v>
      </c>
      <c r="J176" s="39" t="s">
        <v>66</v>
      </c>
      <c r="K176" s="39" t="s">
        <v>66</v>
      </c>
      <c r="L176" s="39" t="s">
        <v>66</v>
      </c>
      <c r="M176" s="39" t="s">
        <v>66</v>
      </c>
      <c r="N176" s="36" t="s">
        <v>79</v>
      </c>
      <c r="O176" s="36">
        <v>2019</v>
      </c>
      <c r="P176" s="32">
        <v>37739.24</v>
      </c>
      <c r="Q176" s="32">
        <v>32078.35</v>
      </c>
      <c r="R176" s="32">
        <v>0</v>
      </c>
      <c r="S176" s="29">
        <f t="shared" si="40"/>
        <v>5660.8899999999994</v>
      </c>
    </row>
    <row r="177" spans="2:26" s="6" customFormat="1" ht="80.25" customHeight="1" x14ac:dyDescent="0.25">
      <c r="B177" s="35" t="s">
        <v>608</v>
      </c>
      <c r="C177" s="35" t="s">
        <v>609</v>
      </c>
      <c r="D177" s="32" t="s">
        <v>610</v>
      </c>
      <c r="E177" s="32" t="s">
        <v>145</v>
      </c>
      <c r="F177" s="32" t="s">
        <v>598</v>
      </c>
      <c r="G177" s="32" t="s">
        <v>552</v>
      </c>
      <c r="H177" s="32" t="s">
        <v>599</v>
      </c>
      <c r="I177" s="35" t="s">
        <v>64</v>
      </c>
      <c r="J177" s="35" t="s">
        <v>65</v>
      </c>
      <c r="K177" s="39" t="s">
        <v>66</v>
      </c>
      <c r="L177" s="39" t="s">
        <v>66</v>
      </c>
      <c r="M177" s="39" t="s">
        <v>66</v>
      </c>
      <c r="N177" s="36" t="s">
        <v>69</v>
      </c>
      <c r="O177" s="36">
        <v>2020</v>
      </c>
      <c r="P177" s="32">
        <v>1029164.59</v>
      </c>
      <c r="Q177" s="32">
        <v>646650.26</v>
      </c>
      <c r="R177" s="32">
        <v>0</v>
      </c>
      <c r="S177" s="32">
        <f t="shared" si="40"/>
        <v>382514.32999999996</v>
      </c>
    </row>
    <row r="178" spans="2:26" s="6" customFormat="1" ht="80.25" customHeight="1" x14ac:dyDescent="0.25">
      <c r="B178" s="27" t="s">
        <v>611</v>
      </c>
      <c r="C178" s="27"/>
      <c r="D178" s="27" t="s">
        <v>612</v>
      </c>
      <c r="E178" s="27"/>
      <c r="F178" s="27"/>
      <c r="G178" s="27"/>
      <c r="H178" s="27"/>
      <c r="I178" s="27"/>
      <c r="J178" s="27"/>
      <c r="K178" s="27"/>
      <c r="L178" s="27"/>
      <c r="M178" s="27"/>
      <c r="N178" s="27"/>
      <c r="O178" s="27"/>
      <c r="P178" s="279">
        <f>SUM(P179:P184)</f>
        <v>2580012.04</v>
      </c>
      <c r="Q178" s="279">
        <f t="shared" ref="Q178:S178" si="41">SUM(Q179:Q184)</f>
        <v>2192956.21</v>
      </c>
      <c r="R178" s="279">
        <f t="shared" si="41"/>
        <v>0</v>
      </c>
      <c r="S178" s="279">
        <f t="shared" si="41"/>
        <v>387055.82999999996</v>
      </c>
    </row>
    <row r="179" spans="2:26" s="6" customFormat="1" ht="77.25" customHeight="1" x14ac:dyDescent="0.25">
      <c r="B179" s="35" t="s">
        <v>613</v>
      </c>
      <c r="C179" s="35" t="s">
        <v>614</v>
      </c>
      <c r="D179" s="29" t="s">
        <v>615</v>
      </c>
      <c r="E179" s="29" t="s">
        <v>138</v>
      </c>
      <c r="F179" s="29" t="s">
        <v>598</v>
      </c>
      <c r="G179" s="29" t="s">
        <v>139</v>
      </c>
      <c r="H179" s="29" t="s">
        <v>616</v>
      </c>
      <c r="I179" s="35" t="s">
        <v>64</v>
      </c>
      <c r="J179" s="35" t="s">
        <v>65</v>
      </c>
      <c r="K179" s="39" t="s">
        <v>66</v>
      </c>
      <c r="L179" s="39" t="s">
        <v>66</v>
      </c>
      <c r="M179" s="39" t="s">
        <v>66</v>
      </c>
      <c r="N179" s="36" t="s">
        <v>164</v>
      </c>
      <c r="O179" s="36">
        <v>2020</v>
      </c>
      <c r="P179" s="32">
        <v>431079.82</v>
      </c>
      <c r="Q179" s="32">
        <v>366417.84</v>
      </c>
      <c r="R179" s="32">
        <v>0</v>
      </c>
      <c r="S179" s="29">
        <f t="shared" ref="S179:S184" si="42">P179-Q179-R179</f>
        <v>64661.979999999981</v>
      </c>
    </row>
    <row r="180" spans="2:26" s="6" customFormat="1" ht="72.75" customHeight="1" x14ac:dyDescent="0.25">
      <c r="B180" s="35" t="s">
        <v>617</v>
      </c>
      <c r="C180" s="35" t="s">
        <v>618</v>
      </c>
      <c r="D180" s="32" t="s">
        <v>619</v>
      </c>
      <c r="E180" s="32" t="s">
        <v>145</v>
      </c>
      <c r="F180" s="32" t="s">
        <v>598</v>
      </c>
      <c r="G180" s="32" t="s">
        <v>208</v>
      </c>
      <c r="H180" s="32" t="s">
        <v>616</v>
      </c>
      <c r="I180" s="35" t="s">
        <v>64</v>
      </c>
      <c r="J180" s="35" t="s">
        <v>65</v>
      </c>
      <c r="K180" s="39" t="s">
        <v>66</v>
      </c>
      <c r="L180" s="39" t="s">
        <v>66</v>
      </c>
      <c r="M180" s="39" t="s">
        <v>66</v>
      </c>
      <c r="N180" s="36" t="s">
        <v>164</v>
      </c>
      <c r="O180" s="36">
        <v>2020</v>
      </c>
      <c r="P180" s="32">
        <v>429341.5</v>
      </c>
      <c r="Q180" s="32">
        <v>364940.27</v>
      </c>
      <c r="R180" s="32">
        <v>0</v>
      </c>
      <c r="S180" s="29">
        <f t="shared" si="42"/>
        <v>64401.229999999981</v>
      </c>
      <c r="Y180" s="33"/>
      <c r="Z180" s="33"/>
    </row>
    <row r="181" spans="2:26" s="6" customFormat="1" ht="66" customHeight="1" x14ac:dyDescent="0.25">
      <c r="B181" s="35" t="s">
        <v>620</v>
      </c>
      <c r="C181" s="35" t="s">
        <v>621</v>
      </c>
      <c r="D181" s="29" t="s">
        <v>622</v>
      </c>
      <c r="E181" s="29" t="s">
        <v>60</v>
      </c>
      <c r="F181" s="29" t="s">
        <v>598</v>
      </c>
      <c r="G181" s="29" t="s">
        <v>73</v>
      </c>
      <c r="H181" s="29" t="s">
        <v>616</v>
      </c>
      <c r="I181" s="35" t="s">
        <v>64</v>
      </c>
      <c r="J181" s="39" t="s">
        <v>66</v>
      </c>
      <c r="K181" s="39" t="s">
        <v>66</v>
      </c>
      <c r="L181" s="39" t="s">
        <v>66</v>
      </c>
      <c r="M181" s="39" t="s">
        <v>66</v>
      </c>
      <c r="N181" s="36" t="s">
        <v>164</v>
      </c>
      <c r="O181" s="36">
        <v>2019</v>
      </c>
      <c r="P181" s="32">
        <v>301122.82</v>
      </c>
      <c r="Q181" s="32">
        <v>255954.39</v>
      </c>
      <c r="R181" s="32">
        <v>0</v>
      </c>
      <c r="S181" s="29">
        <f t="shared" si="42"/>
        <v>45168.429999999993</v>
      </c>
    </row>
    <row r="182" spans="2:26" s="6" customFormat="1" ht="130.5" customHeight="1" x14ac:dyDescent="0.25">
      <c r="B182" s="35" t="s">
        <v>623</v>
      </c>
      <c r="C182" s="35" t="s">
        <v>624</v>
      </c>
      <c r="D182" s="29" t="s">
        <v>625</v>
      </c>
      <c r="E182" s="29" t="s">
        <v>93</v>
      </c>
      <c r="F182" s="29" t="s">
        <v>598</v>
      </c>
      <c r="G182" s="29" t="s">
        <v>94</v>
      </c>
      <c r="H182" s="29" t="s">
        <v>616</v>
      </c>
      <c r="I182" s="35" t="s">
        <v>64</v>
      </c>
      <c r="J182" s="39" t="s">
        <v>66</v>
      </c>
      <c r="K182" s="39" t="s">
        <v>66</v>
      </c>
      <c r="L182" s="39" t="s">
        <v>66</v>
      </c>
      <c r="M182" s="39" t="s">
        <v>66</v>
      </c>
      <c r="N182" s="36" t="s">
        <v>164</v>
      </c>
      <c r="O182" s="36">
        <v>2019</v>
      </c>
      <c r="P182" s="32">
        <v>577222.22</v>
      </c>
      <c r="Q182" s="32">
        <v>490585</v>
      </c>
      <c r="R182" s="32">
        <v>0</v>
      </c>
      <c r="S182" s="29">
        <f t="shared" si="42"/>
        <v>86637.219999999972</v>
      </c>
    </row>
    <row r="183" spans="2:26" s="6" customFormat="1" ht="127.5" customHeight="1" x14ac:dyDescent="0.25">
      <c r="B183" s="35" t="s">
        <v>626</v>
      </c>
      <c r="C183" s="35" t="s">
        <v>627</v>
      </c>
      <c r="D183" s="29" t="s">
        <v>628</v>
      </c>
      <c r="E183" s="29" t="s">
        <v>186</v>
      </c>
      <c r="F183" s="29" t="s">
        <v>598</v>
      </c>
      <c r="G183" s="29" t="s">
        <v>187</v>
      </c>
      <c r="H183" s="29" t="s">
        <v>616</v>
      </c>
      <c r="I183" s="35" t="s">
        <v>64</v>
      </c>
      <c r="J183" s="39" t="s">
        <v>66</v>
      </c>
      <c r="K183" s="39" t="s">
        <v>66</v>
      </c>
      <c r="L183" s="39" t="s">
        <v>66</v>
      </c>
      <c r="M183" s="39" t="s">
        <v>66</v>
      </c>
      <c r="N183" s="36" t="s">
        <v>164</v>
      </c>
      <c r="O183" s="36">
        <v>2019</v>
      </c>
      <c r="P183" s="32">
        <v>344844.84</v>
      </c>
      <c r="Q183" s="32">
        <v>293118</v>
      </c>
      <c r="R183" s="32">
        <v>0</v>
      </c>
      <c r="S183" s="29">
        <f t="shared" si="42"/>
        <v>51726.840000000026</v>
      </c>
    </row>
    <row r="184" spans="2:26" s="6" customFormat="1" ht="105.75" customHeight="1" x14ac:dyDescent="0.25">
      <c r="B184" s="35" t="s">
        <v>629</v>
      </c>
      <c r="C184" s="35" t="s">
        <v>630</v>
      </c>
      <c r="D184" s="32" t="s">
        <v>631</v>
      </c>
      <c r="E184" s="32" t="s">
        <v>152</v>
      </c>
      <c r="F184" s="32" t="s">
        <v>598</v>
      </c>
      <c r="G184" s="32" t="s">
        <v>153</v>
      </c>
      <c r="H184" s="32" t="s">
        <v>616</v>
      </c>
      <c r="I184" s="35" t="s">
        <v>64</v>
      </c>
      <c r="J184" s="39" t="s">
        <v>66</v>
      </c>
      <c r="K184" s="39" t="s">
        <v>66</v>
      </c>
      <c r="L184" s="39" t="s">
        <v>66</v>
      </c>
      <c r="M184" s="39" t="s">
        <v>66</v>
      </c>
      <c r="N184" s="36" t="s">
        <v>141</v>
      </c>
      <c r="O184" s="36">
        <v>2019</v>
      </c>
      <c r="P184" s="32">
        <v>496400.84</v>
      </c>
      <c r="Q184" s="32">
        <v>421940.71</v>
      </c>
      <c r="R184" s="32">
        <v>0</v>
      </c>
      <c r="S184" s="32">
        <f t="shared" si="42"/>
        <v>74460.13</v>
      </c>
    </row>
    <row r="185" spans="2:26" s="6" customFormat="1" ht="219" customHeight="1" x14ac:dyDescent="0.25">
      <c r="B185" s="26" t="s">
        <v>632</v>
      </c>
      <c r="C185" s="26"/>
      <c r="D185" s="26" t="s">
        <v>633</v>
      </c>
      <c r="E185" s="26"/>
      <c r="F185" s="26"/>
      <c r="G185" s="26"/>
      <c r="H185" s="26"/>
      <c r="I185" s="26"/>
      <c r="J185" s="26"/>
      <c r="K185" s="26"/>
      <c r="L185" s="26"/>
      <c r="M185" s="26"/>
      <c r="N185" s="26"/>
      <c r="O185" s="26"/>
      <c r="P185" s="48"/>
      <c r="Q185" s="48"/>
      <c r="R185" s="48"/>
      <c r="S185" s="48"/>
    </row>
    <row r="186" spans="2:26" s="6" customFormat="1" ht="72.75" customHeight="1" x14ac:dyDescent="0.25">
      <c r="B186" s="27" t="s">
        <v>634</v>
      </c>
      <c r="C186" s="27"/>
      <c r="D186" s="27" t="s">
        <v>635</v>
      </c>
      <c r="E186" s="27"/>
      <c r="F186" s="27"/>
      <c r="G186" s="27"/>
      <c r="H186" s="27"/>
      <c r="I186" s="27"/>
      <c r="J186" s="27"/>
      <c r="K186" s="27"/>
      <c r="L186" s="27"/>
      <c r="M186" s="27"/>
      <c r="N186" s="27"/>
      <c r="O186" s="27"/>
      <c r="P186" s="279">
        <f>SUM(P187:P192)</f>
        <v>5751536.04</v>
      </c>
      <c r="Q186" s="279">
        <f>SUM(Q187:Q192)</f>
        <v>4766852.66</v>
      </c>
      <c r="R186" s="279">
        <f>SUM(R187:R192)</f>
        <v>600000</v>
      </c>
      <c r="S186" s="279">
        <f>SUM(S187:S192)</f>
        <v>384683.38000000018</v>
      </c>
    </row>
    <row r="187" spans="2:26" s="6" customFormat="1" ht="78" customHeight="1" x14ac:dyDescent="0.25">
      <c r="B187" s="35" t="s">
        <v>636</v>
      </c>
      <c r="C187" s="35" t="s">
        <v>637</v>
      </c>
      <c r="D187" s="32" t="s">
        <v>638</v>
      </c>
      <c r="E187" s="32" t="s">
        <v>138</v>
      </c>
      <c r="F187" s="32" t="s">
        <v>276</v>
      </c>
      <c r="G187" s="32" t="s">
        <v>139</v>
      </c>
      <c r="H187" s="32" t="s">
        <v>639</v>
      </c>
      <c r="I187" s="35" t="s">
        <v>64</v>
      </c>
      <c r="J187" s="35" t="s">
        <v>65</v>
      </c>
      <c r="K187" s="39" t="s">
        <v>66</v>
      </c>
      <c r="L187" s="39" t="s">
        <v>66</v>
      </c>
      <c r="M187" s="39" t="s">
        <v>66</v>
      </c>
      <c r="N187" s="36" t="s">
        <v>142</v>
      </c>
      <c r="O187" s="36">
        <v>2018</v>
      </c>
      <c r="P187" s="32">
        <v>70588</v>
      </c>
      <c r="Q187" s="53">
        <v>59999.8</v>
      </c>
      <c r="R187" s="32">
        <v>0</v>
      </c>
      <c r="S187" s="29">
        <f t="shared" ref="S187:S191" si="43">P187-Q187-R187</f>
        <v>10588.199999999997</v>
      </c>
    </row>
    <row r="188" spans="2:26" s="6" customFormat="1" ht="80.25" customHeight="1" x14ac:dyDescent="0.25">
      <c r="B188" s="35" t="s">
        <v>640</v>
      </c>
      <c r="C188" s="35" t="s">
        <v>641</v>
      </c>
      <c r="D188" s="29" t="s">
        <v>642</v>
      </c>
      <c r="E188" s="29" t="s">
        <v>643</v>
      </c>
      <c r="F188" s="29" t="s">
        <v>276</v>
      </c>
      <c r="G188" s="29" t="s">
        <v>187</v>
      </c>
      <c r="H188" s="29" t="s">
        <v>639</v>
      </c>
      <c r="I188" s="35" t="s">
        <v>64</v>
      </c>
      <c r="J188" s="35" t="s">
        <v>65</v>
      </c>
      <c r="K188" s="39" t="s">
        <v>66</v>
      </c>
      <c r="L188" s="39" t="s">
        <v>66</v>
      </c>
      <c r="M188" s="39" t="s">
        <v>66</v>
      </c>
      <c r="N188" s="36" t="s">
        <v>67</v>
      </c>
      <c r="O188" s="36">
        <v>2020</v>
      </c>
      <c r="P188" s="32">
        <v>589242.18000000005</v>
      </c>
      <c r="Q188" s="32">
        <v>420000</v>
      </c>
      <c r="R188" s="32">
        <v>0</v>
      </c>
      <c r="S188" s="29">
        <f t="shared" si="43"/>
        <v>169242.18000000005</v>
      </c>
    </row>
    <row r="189" spans="2:26" s="6" customFormat="1" ht="98.25" customHeight="1" x14ac:dyDescent="0.25">
      <c r="B189" s="35" t="s">
        <v>644</v>
      </c>
      <c r="C189" s="35" t="s">
        <v>645</v>
      </c>
      <c r="D189" s="32" t="s">
        <v>646</v>
      </c>
      <c r="E189" s="32" t="s">
        <v>93</v>
      </c>
      <c r="F189" s="32" t="s">
        <v>276</v>
      </c>
      <c r="G189" s="32" t="s">
        <v>94</v>
      </c>
      <c r="H189" s="32" t="s">
        <v>639</v>
      </c>
      <c r="I189" s="35" t="s">
        <v>64</v>
      </c>
      <c r="J189" s="35" t="s">
        <v>65</v>
      </c>
      <c r="K189" s="39" t="s">
        <v>66</v>
      </c>
      <c r="L189" s="39" t="s">
        <v>66</v>
      </c>
      <c r="M189" s="39" t="s">
        <v>66</v>
      </c>
      <c r="N189" s="36" t="s">
        <v>142</v>
      </c>
      <c r="O189" s="36">
        <v>2018</v>
      </c>
      <c r="P189" s="32">
        <v>263922.88</v>
      </c>
      <c r="Q189" s="32">
        <v>224334.44</v>
      </c>
      <c r="R189" s="32">
        <v>0</v>
      </c>
      <c r="S189" s="29">
        <f t="shared" si="43"/>
        <v>39588.44</v>
      </c>
    </row>
    <row r="190" spans="2:26" s="6" customFormat="1" ht="90" customHeight="1" x14ac:dyDescent="0.25">
      <c r="B190" s="35" t="s">
        <v>647</v>
      </c>
      <c r="C190" s="35" t="s">
        <v>648</v>
      </c>
      <c r="D190" s="32" t="s">
        <v>649</v>
      </c>
      <c r="E190" s="32" t="s">
        <v>650</v>
      </c>
      <c r="F190" s="32" t="s">
        <v>276</v>
      </c>
      <c r="G190" s="32" t="s">
        <v>208</v>
      </c>
      <c r="H190" s="32" t="s">
        <v>639</v>
      </c>
      <c r="I190" s="35" t="s">
        <v>64</v>
      </c>
      <c r="J190" s="35" t="s">
        <v>65</v>
      </c>
      <c r="K190" s="39" t="s">
        <v>66</v>
      </c>
      <c r="L190" s="39" t="s">
        <v>66</v>
      </c>
      <c r="M190" s="39" t="s">
        <v>66</v>
      </c>
      <c r="N190" s="36" t="s">
        <v>109</v>
      </c>
      <c r="O190" s="36">
        <v>2019</v>
      </c>
      <c r="P190" s="32">
        <v>797588.28</v>
      </c>
      <c r="Q190" s="32">
        <v>636853.66999999993</v>
      </c>
      <c r="R190" s="32">
        <v>0</v>
      </c>
      <c r="S190" s="29">
        <f t="shared" si="43"/>
        <v>160734.6100000001</v>
      </c>
    </row>
    <row r="191" spans="2:26" s="6" customFormat="1" ht="88.5" customHeight="1" x14ac:dyDescent="0.25">
      <c r="B191" s="35" t="s">
        <v>651</v>
      </c>
      <c r="C191" s="35" t="s">
        <v>652</v>
      </c>
      <c r="D191" s="32" t="s">
        <v>653</v>
      </c>
      <c r="E191" s="32" t="s">
        <v>654</v>
      </c>
      <c r="F191" s="32" t="s">
        <v>276</v>
      </c>
      <c r="G191" s="32" t="s">
        <v>655</v>
      </c>
      <c r="H191" s="32" t="s">
        <v>639</v>
      </c>
      <c r="I191" s="35" t="s">
        <v>64</v>
      </c>
      <c r="J191" s="35" t="s">
        <v>65</v>
      </c>
      <c r="K191" s="39" t="s">
        <v>66</v>
      </c>
      <c r="L191" s="39" t="s">
        <v>66</v>
      </c>
      <c r="M191" s="39" t="s">
        <v>66</v>
      </c>
      <c r="N191" s="36" t="s">
        <v>110</v>
      </c>
      <c r="O191" s="36">
        <v>2020</v>
      </c>
      <c r="P191" s="32">
        <v>4000000</v>
      </c>
      <c r="Q191" s="32">
        <v>3400000</v>
      </c>
      <c r="R191" s="32">
        <v>600000</v>
      </c>
      <c r="S191" s="29">
        <f t="shared" si="43"/>
        <v>0</v>
      </c>
    </row>
    <row r="192" spans="2:26" s="6" customFormat="1" ht="90.75" customHeight="1" x14ac:dyDescent="0.25">
      <c r="B192" s="35" t="s">
        <v>656</v>
      </c>
      <c r="C192" s="35" t="s">
        <v>657</v>
      </c>
      <c r="D192" s="32" t="s">
        <v>658</v>
      </c>
      <c r="E192" s="32" t="s">
        <v>659</v>
      </c>
      <c r="F192" s="29" t="s">
        <v>276</v>
      </c>
      <c r="G192" s="29" t="s">
        <v>153</v>
      </c>
      <c r="H192" s="29" t="s">
        <v>660</v>
      </c>
      <c r="I192" s="35" t="s">
        <v>64</v>
      </c>
      <c r="J192" s="35" t="s">
        <v>65</v>
      </c>
      <c r="K192" s="39" t="s">
        <v>66</v>
      </c>
      <c r="L192" s="39" t="s">
        <v>66</v>
      </c>
      <c r="M192" s="39" t="s">
        <v>66</v>
      </c>
      <c r="N192" s="36" t="s">
        <v>236</v>
      </c>
      <c r="O192" s="36">
        <v>2020</v>
      </c>
      <c r="P192" s="32">
        <v>30194.7</v>
      </c>
      <c r="Q192" s="32">
        <v>25664.75</v>
      </c>
      <c r="R192" s="32">
        <v>0</v>
      </c>
      <c r="S192" s="32">
        <v>4529.95</v>
      </c>
    </row>
    <row r="193" spans="2:30" s="6" customFormat="1" ht="102" customHeight="1" x14ac:dyDescent="0.25">
      <c r="B193" s="26" t="s">
        <v>661</v>
      </c>
      <c r="C193" s="26"/>
      <c r="D193" s="26" t="s">
        <v>662</v>
      </c>
      <c r="E193" s="26"/>
      <c r="F193" s="26"/>
      <c r="G193" s="26"/>
      <c r="H193" s="26"/>
      <c r="I193" s="26"/>
      <c r="J193" s="26"/>
      <c r="K193" s="26"/>
      <c r="L193" s="26"/>
      <c r="M193" s="26"/>
      <c r="N193" s="26"/>
      <c r="O193" s="26"/>
      <c r="P193" s="48"/>
      <c r="Q193" s="48"/>
      <c r="R193" s="48"/>
      <c r="S193" s="48"/>
    </row>
    <row r="194" spans="2:30" s="6" customFormat="1" ht="89.25" customHeight="1" x14ac:dyDescent="0.25">
      <c r="B194" s="27" t="s">
        <v>663</v>
      </c>
      <c r="C194" s="27"/>
      <c r="D194" s="27" t="s">
        <v>664</v>
      </c>
      <c r="E194" s="27"/>
      <c r="F194" s="27"/>
      <c r="G194" s="27"/>
      <c r="H194" s="27"/>
      <c r="I194" s="27"/>
      <c r="J194" s="27"/>
      <c r="K194" s="27"/>
      <c r="L194" s="27"/>
      <c r="M194" s="27"/>
      <c r="N194" s="27"/>
      <c r="O194" s="27"/>
      <c r="P194" s="279">
        <f>SUM(P195:P201)</f>
        <v>1120076.0899999999</v>
      </c>
      <c r="Q194" s="279">
        <f>SUM(Q195:Q201)</f>
        <v>951990.67999999993</v>
      </c>
      <c r="R194" s="279">
        <f>SUM(R195:R201)</f>
        <v>0</v>
      </c>
      <c r="S194" s="279">
        <f>SUM(S195:S201)</f>
        <v>168085.40999999997</v>
      </c>
    </row>
    <row r="195" spans="2:30" s="6" customFormat="1" ht="99" customHeight="1" x14ac:dyDescent="0.25">
      <c r="B195" s="35" t="s">
        <v>665</v>
      </c>
      <c r="C195" s="35" t="s">
        <v>666</v>
      </c>
      <c r="D195" s="29" t="s">
        <v>667</v>
      </c>
      <c r="E195" s="29" t="s">
        <v>145</v>
      </c>
      <c r="F195" s="29" t="s">
        <v>61</v>
      </c>
      <c r="G195" s="29" t="s">
        <v>668</v>
      </c>
      <c r="H195" s="29" t="s">
        <v>669</v>
      </c>
      <c r="I195" s="35" t="s">
        <v>64</v>
      </c>
      <c r="J195" s="39" t="s">
        <v>66</v>
      </c>
      <c r="K195" s="39" t="s">
        <v>66</v>
      </c>
      <c r="L195" s="39" t="s">
        <v>66</v>
      </c>
      <c r="M195" s="39" t="s">
        <v>66</v>
      </c>
      <c r="N195" s="36" t="s">
        <v>449</v>
      </c>
      <c r="O195" s="36">
        <v>2021</v>
      </c>
      <c r="P195" s="32">
        <v>188236</v>
      </c>
      <c r="Q195" s="32">
        <v>160000</v>
      </c>
      <c r="R195" s="32">
        <v>0</v>
      </c>
      <c r="S195" s="29">
        <f t="shared" ref="S195:S200" si="44">P195-Q195-R195</f>
        <v>28236</v>
      </c>
    </row>
    <row r="196" spans="2:30" s="6" customFormat="1" ht="100.5" customHeight="1" x14ac:dyDescent="0.25">
      <c r="B196" s="35" t="s">
        <v>670</v>
      </c>
      <c r="C196" s="35" t="s">
        <v>671</v>
      </c>
      <c r="D196" s="29" t="s">
        <v>672</v>
      </c>
      <c r="E196" s="29" t="s">
        <v>93</v>
      </c>
      <c r="F196" s="29" t="s">
        <v>61</v>
      </c>
      <c r="G196" s="29" t="s">
        <v>94</v>
      </c>
      <c r="H196" s="29" t="s">
        <v>669</v>
      </c>
      <c r="I196" s="35" t="s">
        <v>64</v>
      </c>
      <c r="J196" s="39" t="s">
        <v>66</v>
      </c>
      <c r="K196" s="39" t="s">
        <v>66</v>
      </c>
      <c r="L196" s="39" t="s">
        <v>66</v>
      </c>
      <c r="M196" s="39" t="s">
        <v>66</v>
      </c>
      <c r="N196" s="36" t="s">
        <v>236</v>
      </c>
      <c r="O196" s="36">
        <v>2020</v>
      </c>
      <c r="P196" s="32">
        <v>186665</v>
      </c>
      <c r="Q196" s="32">
        <v>158665</v>
      </c>
      <c r="R196" s="32">
        <v>0</v>
      </c>
      <c r="S196" s="29">
        <f t="shared" si="44"/>
        <v>28000</v>
      </c>
    </row>
    <row r="197" spans="2:30" s="6" customFormat="1" ht="89.25" x14ac:dyDescent="0.25">
      <c r="B197" s="35" t="s">
        <v>673</v>
      </c>
      <c r="C197" s="35" t="s">
        <v>674</v>
      </c>
      <c r="D197" s="29" t="s">
        <v>675</v>
      </c>
      <c r="E197" s="29" t="s">
        <v>186</v>
      </c>
      <c r="F197" s="29" t="s">
        <v>61</v>
      </c>
      <c r="G197" s="29" t="s">
        <v>187</v>
      </c>
      <c r="H197" s="29" t="s">
        <v>669</v>
      </c>
      <c r="I197" s="35" t="s">
        <v>64</v>
      </c>
      <c r="J197" s="39" t="s">
        <v>66</v>
      </c>
      <c r="K197" s="39" t="s">
        <v>66</v>
      </c>
      <c r="L197" s="39" t="s">
        <v>66</v>
      </c>
      <c r="M197" s="39" t="s">
        <v>66</v>
      </c>
      <c r="N197" s="36" t="s">
        <v>449</v>
      </c>
      <c r="O197" s="36">
        <v>2020</v>
      </c>
      <c r="P197" s="32">
        <v>154414.51999999999</v>
      </c>
      <c r="Q197" s="32">
        <v>131252.34</v>
      </c>
      <c r="R197" s="32">
        <v>0</v>
      </c>
      <c r="S197" s="29">
        <f t="shared" si="44"/>
        <v>23162.179999999993</v>
      </c>
      <c r="AD197" s="43"/>
    </row>
    <row r="198" spans="2:30" s="6" customFormat="1" ht="102" x14ac:dyDescent="0.25">
      <c r="B198" s="35" t="s">
        <v>676</v>
      </c>
      <c r="C198" s="35" t="s">
        <v>677</v>
      </c>
      <c r="D198" s="29" t="s">
        <v>678</v>
      </c>
      <c r="E198" s="29" t="s">
        <v>679</v>
      </c>
      <c r="F198" s="29" t="s">
        <v>61</v>
      </c>
      <c r="G198" s="29" t="s">
        <v>153</v>
      </c>
      <c r="H198" s="29" t="s">
        <v>680</v>
      </c>
      <c r="I198" s="35" t="s">
        <v>64</v>
      </c>
      <c r="J198" s="39" t="s">
        <v>66</v>
      </c>
      <c r="K198" s="39" t="s">
        <v>66</v>
      </c>
      <c r="L198" s="39" t="s">
        <v>66</v>
      </c>
      <c r="M198" s="39" t="s">
        <v>66</v>
      </c>
      <c r="N198" s="36" t="s">
        <v>68</v>
      </c>
      <c r="O198" s="36">
        <v>2019</v>
      </c>
      <c r="P198" s="32">
        <v>116373.51</v>
      </c>
      <c r="Q198" s="32">
        <v>98844.35</v>
      </c>
      <c r="R198" s="32">
        <v>0</v>
      </c>
      <c r="S198" s="29">
        <f t="shared" si="44"/>
        <v>17529.159999999989</v>
      </c>
    </row>
    <row r="199" spans="2:30" s="6" customFormat="1" ht="89.25" x14ac:dyDescent="0.25">
      <c r="B199" s="35" t="s">
        <v>681</v>
      </c>
      <c r="C199" s="35" t="s">
        <v>682</v>
      </c>
      <c r="D199" s="29" t="s">
        <v>683</v>
      </c>
      <c r="E199" s="29" t="s">
        <v>60</v>
      </c>
      <c r="F199" s="29" t="s">
        <v>61</v>
      </c>
      <c r="G199" s="29" t="s">
        <v>684</v>
      </c>
      <c r="H199" s="29" t="s">
        <v>680</v>
      </c>
      <c r="I199" s="35" t="s">
        <v>64</v>
      </c>
      <c r="J199" s="39" t="s">
        <v>66</v>
      </c>
      <c r="K199" s="39" t="s">
        <v>66</v>
      </c>
      <c r="L199" s="39" t="s">
        <v>66</v>
      </c>
      <c r="M199" s="39" t="s">
        <v>66</v>
      </c>
      <c r="N199" s="36" t="s">
        <v>69</v>
      </c>
      <c r="O199" s="36">
        <v>2020</v>
      </c>
      <c r="P199" s="32">
        <v>176470.59</v>
      </c>
      <c r="Q199" s="32">
        <v>150000</v>
      </c>
      <c r="R199" s="32">
        <v>0</v>
      </c>
      <c r="S199" s="29">
        <f t="shared" si="44"/>
        <v>26470.589999999997</v>
      </c>
    </row>
    <row r="200" spans="2:30" s="33" customFormat="1" ht="102" x14ac:dyDescent="0.25">
      <c r="B200" s="35" t="s">
        <v>685</v>
      </c>
      <c r="C200" s="35" t="s">
        <v>686</v>
      </c>
      <c r="D200" s="32" t="s">
        <v>687</v>
      </c>
      <c r="E200" s="32" t="s">
        <v>138</v>
      </c>
      <c r="F200" s="32" t="s">
        <v>61</v>
      </c>
      <c r="G200" s="32" t="s">
        <v>162</v>
      </c>
      <c r="H200" s="32" t="s">
        <v>680</v>
      </c>
      <c r="I200" s="35" t="s">
        <v>64</v>
      </c>
      <c r="J200" s="39" t="s">
        <v>66</v>
      </c>
      <c r="K200" s="39" t="s">
        <v>66</v>
      </c>
      <c r="L200" s="39" t="s">
        <v>66</v>
      </c>
      <c r="M200" s="39" t="s">
        <v>66</v>
      </c>
      <c r="N200" s="36" t="s">
        <v>422</v>
      </c>
      <c r="O200" s="36">
        <v>2021</v>
      </c>
      <c r="P200" s="32">
        <v>157956.47</v>
      </c>
      <c r="Q200" s="32">
        <v>134262.99</v>
      </c>
      <c r="R200" s="32">
        <v>0</v>
      </c>
      <c r="S200" s="29">
        <f t="shared" si="44"/>
        <v>23693.48000000001</v>
      </c>
      <c r="T200" s="6"/>
      <c r="U200" s="6"/>
      <c r="V200" s="6"/>
      <c r="W200" s="6"/>
      <c r="X200" s="6"/>
    </row>
    <row r="201" spans="2:30" s="6" customFormat="1" ht="89.25" x14ac:dyDescent="0.25">
      <c r="B201" s="35" t="s">
        <v>1189</v>
      </c>
      <c r="C201" s="35" t="s">
        <v>1190</v>
      </c>
      <c r="D201" s="29" t="s">
        <v>1191</v>
      </c>
      <c r="E201" s="29" t="s">
        <v>152</v>
      </c>
      <c r="F201" s="29" t="s">
        <v>61</v>
      </c>
      <c r="G201" s="29" t="s">
        <v>153</v>
      </c>
      <c r="H201" s="29" t="s">
        <v>680</v>
      </c>
      <c r="I201" s="35" t="s">
        <v>64</v>
      </c>
      <c r="J201" s="39" t="s">
        <v>66</v>
      </c>
      <c r="K201" s="39" t="s">
        <v>66</v>
      </c>
      <c r="L201" s="39" t="s">
        <v>66</v>
      </c>
      <c r="M201" s="39" t="s">
        <v>66</v>
      </c>
      <c r="N201" s="36" t="s">
        <v>216</v>
      </c>
      <c r="O201" s="36">
        <v>2022</v>
      </c>
      <c r="P201" s="32">
        <f>Q201+R201+S201</f>
        <v>139960</v>
      </c>
      <c r="Q201" s="32">
        <v>118966</v>
      </c>
      <c r="R201" s="32">
        <v>0</v>
      </c>
      <c r="S201" s="29">
        <v>20994</v>
      </c>
    </row>
    <row r="202" spans="2:30" s="93" customFormat="1" x14ac:dyDescent="0.25">
      <c r="B202" s="94"/>
      <c r="P202" s="95"/>
      <c r="Q202" s="95"/>
      <c r="R202" s="95"/>
      <c r="S202" s="95"/>
    </row>
    <row r="212" spans="2:19" hidden="1" x14ac:dyDescent="0.25">
      <c r="B212" t="s">
        <v>867</v>
      </c>
      <c r="P212" s="85">
        <f>SUBTOTAL(9,P9:P201)</f>
        <v>169615582.05999997</v>
      </c>
      <c r="Q212" s="85">
        <f>SUBTOTAL(9,Q9:Q201)</f>
        <v>116420916.09999999</v>
      </c>
      <c r="R212" s="85">
        <f>SUBTOTAL(9,R9:R201)</f>
        <v>4309842.9799999995</v>
      </c>
      <c r="S212" s="85">
        <f>SUBTOTAL(9,S9:S201)</f>
        <v>48884822.980000004</v>
      </c>
    </row>
  </sheetData>
  <autoFilter ref="B7:S62"/>
  <mergeCells count="3">
    <mergeCell ref="N6:O6"/>
    <mergeCell ref="B6:M6"/>
    <mergeCell ref="P6:S6"/>
  </mergeCells>
  <pageMargins left="0.25" right="0.25" top="0.75" bottom="0.75" header="0.3" footer="0.3"/>
  <pageSetup paperSize="8" scale="8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09"/>
  <sheetViews>
    <sheetView workbookViewId="0">
      <pane ySplit="8" topLeftCell="A9" activePane="bottomLeft" state="frozen"/>
      <selection pane="bottomLeft" activeCell="D219" sqref="D219"/>
    </sheetView>
  </sheetViews>
  <sheetFormatPr defaultRowHeight="15" x14ac:dyDescent="0.25"/>
  <cols>
    <col min="1" max="1" width="4.42578125" style="1" customWidth="1"/>
    <col min="2" max="2" width="7.5703125" style="1" customWidth="1"/>
    <col min="3" max="3" width="9.140625" style="1"/>
    <col min="4" max="4" width="14" style="1" customWidth="1"/>
    <col min="5" max="5" width="10.140625" style="1" customWidth="1"/>
    <col min="6" max="6" width="11.85546875" style="1" customWidth="1"/>
    <col min="7" max="7" width="12" style="1" customWidth="1"/>
    <col min="8" max="8" width="9.140625" style="1"/>
    <col min="9" max="9" width="11.5703125" style="1" customWidth="1"/>
    <col min="10" max="10" width="12.7109375" style="1" customWidth="1"/>
    <col min="11" max="11" width="9.140625" style="1"/>
    <col min="12" max="12" width="11.5703125" style="1" customWidth="1"/>
    <col min="13" max="13" width="12.5703125" style="1" customWidth="1"/>
    <col min="14" max="14" width="9.140625" style="1"/>
    <col min="15" max="15" width="12.140625" style="1" customWidth="1"/>
    <col min="16" max="16" width="12.28515625" style="1" customWidth="1"/>
    <col min="17" max="17" width="9.140625" style="1"/>
    <col min="18" max="18" width="11.42578125" style="1" customWidth="1"/>
    <col min="19" max="19" width="11.5703125" style="1" customWidth="1"/>
    <col min="20" max="20" width="9.140625" style="1"/>
    <col min="21" max="22" width="11.7109375" style="1" customWidth="1"/>
    <col min="23" max="16384" width="9.140625" style="1"/>
  </cols>
  <sheetData>
    <row r="1" spans="2:25" ht="15.75" customHeight="1" x14ac:dyDescent="0.25">
      <c r="R1" s="2"/>
      <c r="S1" s="2"/>
      <c r="T1" s="2" t="s">
        <v>9</v>
      </c>
    </row>
    <row r="2" spans="2:25" ht="15.75" x14ac:dyDescent="0.25">
      <c r="R2" s="3"/>
      <c r="S2" s="3"/>
      <c r="T2" s="3" t="s">
        <v>1</v>
      </c>
    </row>
    <row r="3" spans="2:25" ht="15.75" x14ac:dyDescent="0.25">
      <c r="R3" s="3"/>
      <c r="S3" s="3"/>
      <c r="T3" s="3" t="s">
        <v>2</v>
      </c>
    </row>
    <row r="4" spans="2:25" ht="15.75" x14ac:dyDescent="0.25">
      <c r="R4" s="3"/>
      <c r="S4" s="3"/>
      <c r="T4" s="3"/>
    </row>
    <row r="5" spans="2:25" ht="15.75" x14ac:dyDescent="0.25">
      <c r="B5" s="5" t="s">
        <v>34</v>
      </c>
      <c r="D5" s="6"/>
      <c r="E5" s="6"/>
      <c r="F5" s="6"/>
      <c r="G5" s="6"/>
      <c r="H5" s="6"/>
      <c r="I5" s="6"/>
      <c r="K5" s="8"/>
      <c r="L5" s="8"/>
      <c r="M5" s="8"/>
      <c r="O5" s="8"/>
      <c r="P5" s="8"/>
      <c r="Q5" s="8"/>
    </row>
    <row r="6" spans="2:25" ht="15.75" customHeight="1" x14ac:dyDescent="0.25">
      <c r="B6" s="5" t="s">
        <v>45</v>
      </c>
    </row>
    <row r="7" spans="2:25" ht="32.25" customHeight="1" x14ac:dyDescent="0.25">
      <c r="B7" s="366" t="s">
        <v>19</v>
      </c>
      <c r="C7" s="364" t="s">
        <v>17</v>
      </c>
      <c r="D7" s="366" t="s">
        <v>14</v>
      </c>
      <c r="E7" s="368" t="s">
        <v>15</v>
      </c>
      <c r="F7" s="369"/>
      <c r="G7" s="369"/>
      <c r="H7" s="369"/>
      <c r="I7" s="369"/>
      <c r="J7" s="369"/>
      <c r="K7" s="369"/>
      <c r="L7" s="369"/>
      <c r="M7" s="369"/>
      <c r="N7" s="369"/>
      <c r="O7" s="369"/>
      <c r="P7" s="369"/>
      <c r="Q7" s="369"/>
      <c r="R7" s="369"/>
      <c r="S7" s="369"/>
      <c r="T7" s="369"/>
      <c r="U7" s="369"/>
      <c r="V7" s="370"/>
    </row>
    <row r="8" spans="2:25" ht="36.75" customHeight="1" x14ac:dyDescent="0.25">
      <c r="B8" s="366"/>
      <c r="C8" s="365"/>
      <c r="D8" s="367"/>
      <c r="E8" s="20" t="s">
        <v>4</v>
      </c>
      <c r="F8" s="20" t="s">
        <v>20</v>
      </c>
      <c r="G8" s="20" t="s">
        <v>36</v>
      </c>
      <c r="H8" s="20" t="s">
        <v>26</v>
      </c>
      <c r="I8" s="20" t="s">
        <v>21</v>
      </c>
      <c r="J8" s="20" t="s">
        <v>37</v>
      </c>
      <c r="K8" s="20" t="s">
        <v>11</v>
      </c>
      <c r="L8" s="20" t="s">
        <v>22</v>
      </c>
      <c r="M8" s="20" t="s">
        <v>38</v>
      </c>
      <c r="N8" s="20" t="s">
        <v>12</v>
      </c>
      <c r="O8" s="20" t="s">
        <v>23</v>
      </c>
      <c r="P8" s="20" t="s">
        <v>39</v>
      </c>
      <c r="Q8" s="20" t="s">
        <v>13</v>
      </c>
      <c r="R8" s="20" t="s">
        <v>24</v>
      </c>
      <c r="S8" s="20" t="s">
        <v>40</v>
      </c>
      <c r="T8" s="20" t="s">
        <v>16</v>
      </c>
      <c r="U8" s="20" t="s">
        <v>25</v>
      </c>
      <c r="V8" s="20" t="s">
        <v>41</v>
      </c>
    </row>
    <row r="9" spans="2:25" ht="63.75" x14ac:dyDescent="0.25">
      <c r="B9" s="21" t="s">
        <v>0</v>
      </c>
      <c r="C9" s="21"/>
      <c r="D9" s="21" t="s">
        <v>50</v>
      </c>
      <c r="E9" s="335"/>
      <c r="F9" s="335"/>
      <c r="G9" s="335"/>
      <c r="H9" s="335"/>
      <c r="I9" s="335"/>
      <c r="J9" s="335"/>
      <c r="K9" s="335"/>
      <c r="L9" s="335"/>
      <c r="M9" s="335"/>
      <c r="N9" s="41"/>
      <c r="O9" s="41"/>
      <c r="P9" s="335"/>
      <c r="Q9" s="335"/>
      <c r="R9" s="335"/>
      <c r="S9" s="335"/>
      <c r="T9" s="335"/>
      <c r="U9" s="335"/>
      <c r="V9" s="335"/>
      <c r="W9" s="6"/>
      <c r="X9" s="6"/>
      <c r="Y9" s="6"/>
    </row>
    <row r="10" spans="2:25" ht="191.25" customHeight="1" x14ac:dyDescent="0.25">
      <c r="B10" s="23" t="s">
        <v>51</v>
      </c>
      <c r="C10" s="24"/>
      <c r="D10" s="23" t="s">
        <v>52</v>
      </c>
      <c r="E10" s="24"/>
      <c r="F10" s="23"/>
      <c r="G10" s="23"/>
      <c r="H10" s="24"/>
      <c r="I10" s="23"/>
      <c r="J10" s="23"/>
      <c r="K10" s="24"/>
      <c r="L10" s="23"/>
      <c r="M10" s="23"/>
      <c r="N10" s="24"/>
      <c r="O10" s="23"/>
      <c r="P10" s="23"/>
      <c r="Q10" s="24"/>
      <c r="R10" s="23"/>
      <c r="S10" s="23"/>
      <c r="T10" s="24"/>
      <c r="U10" s="23"/>
      <c r="V10" s="23"/>
      <c r="W10" s="6"/>
      <c r="X10" s="6"/>
      <c r="Y10" s="6"/>
    </row>
    <row r="11" spans="2:25" ht="120" customHeight="1" x14ac:dyDescent="0.25">
      <c r="B11" s="25" t="s">
        <v>53</v>
      </c>
      <c r="C11" s="26"/>
      <c r="D11" s="26" t="s">
        <v>54</v>
      </c>
      <c r="E11" s="26"/>
      <c r="F11" s="26"/>
      <c r="G11" s="25"/>
      <c r="H11" s="26"/>
      <c r="I11" s="26"/>
      <c r="J11" s="26"/>
      <c r="K11" s="25"/>
      <c r="L11" s="26"/>
      <c r="M11" s="26"/>
      <c r="N11" s="26"/>
      <c r="O11" s="25"/>
      <c r="P11" s="26"/>
      <c r="Q11" s="26"/>
      <c r="R11" s="26"/>
      <c r="S11" s="25"/>
      <c r="T11" s="26"/>
      <c r="U11" s="26"/>
      <c r="V11" s="26"/>
      <c r="W11" s="6"/>
      <c r="X11" s="6"/>
      <c r="Y11" s="6"/>
    </row>
    <row r="12" spans="2:25" ht="54" customHeight="1" x14ac:dyDescent="0.25">
      <c r="B12" s="27" t="s">
        <v>55</v>
      </c>
      <c r="C12" s="27"/>
      <c r="D12" s="89" t="s">
        <v>56</v>
      </c>
      <c r="E12" s="27"/>
      <c r="F12" s="27"/>
      <c r="G12" s="27"/>
      <c r="H12" s="27"/>
      <c r="I12" s="27"/>
      <c r="J12" s="27"/>
      <c r="K12" s="27"/>
      <c r="L12" s="27"/>
      <c r="M12" s="27"/>
      <c r="N12" s="27"/>
      <c r="O12" s="27"/>
      <c r="P12" s="27"/>
      <c r="Q12" s="27"/>
      <c r="R12" s="27"/>
      <c r="S12" s="27"/>
      <c r="T12" s="27"/>
      <c r="U12" s="27"/>
      <c r="V12" s="27"/>
      <c r="W12" s="336" t="s">
        <v>148</v>
      </c>
      <c r="X12" s="336" t="s">
        <v>1400</v>
      </c>
      <c r="Y12" s="6"/>
    </row>
    <row r="13" spans="2:25" ht="89.25" x14ac:dyDescent="0.25">
      <c r="B13" s="35" t="str">
        <f>'[1]1 lentelė'!B13</f>
        <v>1.1.1.1.1</v>
      </c>
      <c r="C13" s="35" t="str">
        <f>'[1]1 lentelė'!C13</f>
        <v>R099905-342900-1101</v>
      </c>
      <c r="D13" s="35" t="str">
        <f>'[1]1 lentelė'!D13</f>
        <v>Anykščių miesto viešųjų erdvių sistemos pertvarkymas (I etapas)</v>
      </c>
      <c r="E13" s="32" t="s">
        <v>688</v>
      </c>
      <c r="F13" s="32" t="s">
        <v>689</v>
      </c>
      <c r="G13" s="32">
        <v>6826.23</v>
      </c>
      <c r="H13" s="32" t="s">
        <v>690</v>
      </c>
      <c r="I13" s="32" t="s">
        <v>691</v>
      </c>
      <c r="J13" s="32">
        <v>844.65</v>
      </c>
      <c r="K13" s="29"/>
      <c r="L13" s="29"/>
      <c r="M13" s="29"/>
      <c r="N13" s="37"/>
      <c r="O13" s="37"/>
      <c r="P13" s="29"/>
      <c r="Q13" s="54"/>
      <c r="R13" s="54"/>
      <c r="S13" s="54"/>
      <c r="T13" s="54"/>
      <c r="U13" s="54"/>
      <c r="V13" s="54"/>
      <c r="W13" s="44">
        <f>SUMIF(Q:Q,"P.B.238",S:S)</f>
        <v>0</v>
      </c>
      <c r="X13" s="45">
        <f>S13+T13+U13+V13+W13</f>
        <v>0</v>
      </c>
      <c r="Y13" s="6"/>
    </row>
    <row r="14" spans="2:25" ht="69.75" customHeight="1" x14ac:dyDescent="0.25">
      <c r="B14" s="35" t="str">
        <f>'[1]1 lentelė'!B14</f>
        <v>1.1.1.1.2</v>
      </c>
      <c r="C14" s="35" t="str">
        <f>'[1]1 lentelė'!C14</f>
        <v>R099905-280000-1102</v>
      </c>
      <c r="D14" s="35" t="str">
        <f>'[1]1 lentelė'!D14</f>
        <v xml:space="preserve">Anykščių miesto viešųjų erdvių sistemos pertvarkymas (II etapas) </v>
      </c>
      <c r="E14" s="32" t="s">
        <v>688</v>
      </c>
      <c r="F14" s="32" t="s">
        <v>689</v>
      </c>
      <c r="G14" s="32">
        <v>5766</v>
      </c>
      <c r="H14" s="32"/>
      <c r="I14" s="32"/>
      <c r="J14" s="32"/>
      <c r="K14" s="29"/>
      <c r="L14" s="29"/>
      <c r="M14" s="29"/>
      <c r="N14" s="37"/>
      <c r="O14" s="37"/>
      <c r="P14" s="29"/>
      <c r="Q14" s="54"/>
      <c r="R14" s="54"/>
      <c r="S14" s="54"/>
      <c r="T14" s="54"/>
      <c r="U14" s="54"/>
      <c r="V14" s="54"/>
      <c r="W14" s="44">
        <f>SUMIF(Q:Q,"P.B.235",S:S)</f>
        <v>0</v>
      </c>
      <c r="X14" s="45">
        <f>S14+T14+U14+V14+W14</f>
        <v>0</v>
      </c>
      <c r="Y14" s="6"/>
    </row>
    <row r="15" spans="2:25" ht="84" customHeight="1" x14ac:dyDescent="0.25">
      <c r="B15" s="35" t="str">
        <f>'[1]1 lentelė'!B15</f>
        <v>1.1.1.1.3</v>
      </c>
      <c r="C15" s="35" t="str">
        <f>'[1]1 lentelė'!C15</f>
        <v>R099905-320000-1103</v>
      </c>
      <c r="D15" s="35" t="str">
        <f>'[1]1 lentelė'!D15</f>
        <v xml:space="preserve">Bendruomeninės aktyvaus laisvalaikio infrastruktūros įrengimas Anykščių mieste  </v>
      </c>
      <c r="E15" s="32" t="s">
        <v>688</v>
      </c>
      <c r="F15" s="32" t="s">
        <v>689</v>
      </c>
      <c r="G15" s="32">
        <v>98827</v>
      </c>
      <c r="H15" s="32"/>
      <c r="I15" s="32"/>
      <c r="J15" s="32"/>
      <c r="K15" s="29"/>
      <c r="L15" s="29"/>
      <c r="M15" s="29"/>
      <c r="N15" s="37"/>
      <c r="O15" s="37"/>
      <c r="P15" s="29"/>
      <c r="Q15" s="54"/>
      <c r="R15" s="54"/>
      <c r="S15" s="54"/>
      <c r="T15" s="54"/>
      <c r="U15" s="54"/>
      <c r="V15" s="54"/>
      <c r="W15" s="44">
        <f>SUMIF(Q:Q,"P.B.209",S:S)</f>
        <v>0</v>
      </c>
      <c r="X15" s="45">
        <f t="shared" ref="X15:X32" si="0">S15+T15+U15+V15+W15</f>
        <v>0</v>
      </c>
      <c r="Y15" s="6"/>
    </row>
    <row r="16" spans="2:25" ht="61.5" customHeight="1" x14ac:dyDescent="0.25">
      <c r="B16" s="35" t="str">
        <f>'[1]1 lentelė'!B16</f>
        <v xml:space="preserve">1.1.1.1.4   </v>
      </c>
      <c r="C16" s="35" t="str">
        <f>'[1]1 lentelė'!C16</f>
        <v>R099905-302804-1104</v>
      </c>
      <c r="D16" s="35" t="str">
        <f>'[1]1 lentelė'!D16</f>
        <v xml:space="preserve">Anykščių miesto viešųjų erdvių sistemos pertvarkymas (III etapas) </v>
      </c>
      <c r="E16" s="32" t="s">
        <v>688</v>
      </c>
      <c r="F16" s="32" t="s">
        <v>689</v>
      </c>
      <c r="G16" s="32">
        <v>22620.5</v>
      </c>
      <c r="H16" s="32"/>
      <c r="I16" s="32"/>
      <c r="J16" s="32"/>
      <c r="K16" s="29"/>
      <c r="L16" s="29"/>
      <c r="M16" s="29"/>
      <c r="N16" s="37"/>
      <c r="O16" s="37"/>
      <c r="P16" s="29"/>
      <c r="Q16" s="54"/>
      <c r="R16" s="54"/>
      <c r="S16" s="54"/>
      <c r="T16" s="54"/>
      <c r="U16" s="54"/>
      <c r="V16" s="54"/>
      <c r="W16" s="44">
        <f>SUMIF(Q:Q,"P.B.214",S:S)</f>
        <v>0</v>
      </c>
      <c r="X16" s="337">
        <f t="shared" si="0"/>
        <v>0</v>
      </c>
      <c r="Y16" s="6"/>
    </row>
    <row r="17" spans="2:33" ht="119.25" customHeight="1" x14ac:dyDescent="0.25">
      <c r="B17" s="35" t="str">
        <f>'[1]1 lentelė'!B17</f>
        <v>1.1.1.1.5</v>
      </c>
      <c r="C17" s="35" t="str">
        <f>'[1]1 lentelė'!C17</f>
        <v>R099905-290000-1105</v>
      </c>
      <c r="D17" s="35" t="str">
        <f>'[1]1 lentelė'!D17</f>
        <v>Molėtų miesto Ąžuolų ir Kreivosios gatvių teritorijų išnaudojimas įrengiant universalią daugiafunkcinę aikštę</v>
      </c>
      <c r="E17" s="32" t="s">
        <v>688</v>
      </c>
      <c r="F17" s="32" t="s">
        <v>694</v>
      </c>
      <c r="G17" s="32">
        <v>78609</v>
      </c>
      <c r="H17" s="32"/>
      <c r="I17" s="32"/>
      <c r="J17" s="32"/>
      <c r="K17" s="29"/>
      <c r="L17" s="29"/>
      <c r="M17" s="29"/>
      <c r="N17" s="37"/>
      <c r="O17" s="37"/>
      <c r="P17" s="29"/>
      <c r="Q17" s="54"/>
      <c r="R17" s="54"/>
      <c r="S17" s="54"/>
      <c r="T17" s="54"/>
      <c r="U17" s="54"/>
      <c r="V17" s="54"/>
      <c r="W17" s="44">
        <f>SUMIF(Q:Q,"P.B.214",S:S)</f>
        <v>0</v>
      </c>
      <c r="X17" s="45">
        <f t="shared" si="0"/>
        <v>0</v>
      </c>
      <c r="Y17" s="6"/>
    </row>
    <row r="18" spans="2:33" ht="71.25" customHeight="1" x14ac:dyDescent="0.25">
      <c r="B18" s="35" t="str">
        <f>'[1]1 lentelė'!B18</f>
        <v>1.1.1.1.6</v>
      </c>
      <c r="C18" s="35" t="str">
        <f>'[1]1 lentelė'!C18</f>
        <v>R099905-302900-1106</v>
      </c>
      <c r="D18" s="35" t="str">
        <f>'[1]1 lentelė'!D18</f>
        <v>Molėtų miesto centrinės dalies kompleksinis sutvarkymas (II etapas)</v>
      </c>
      <c r="E18" s="32" t="s">
        <v>688</v>
      </c>
      <c r="F18" s="32" t="s">
        <v>694</v>
      </c>
      <c r="G18" s="32">
        <v>4426.5</v>
      </c>
      <c r="H18" s="32"/>
      <c r="I18" s="32"/>
      <c r="J18" s="32"/>
      <c r="K18" s="29"/>
      <c r="L18" s="29"/>
      <c r="M18" s="29"/>
      <c r="N18" s="37"/>
      <c r="O18" s="37"/>
      <c r="P18" s="29"/>
      <c r="Q18" s="54"/>
      <c r="R18" s="54"/>
      <c r="S18" s="54"/>
      <c r="T18" s="54"/>
      <c r="U18" s="54"/>
      <c r="V18" s="54"/>
      <c r="W18" s="44">
        <f>SUMIF(Q:Q,"P.B.239",S:S)</f>
        <v>0</v>
      </c>
      <c r="X18" s="45">
        <f t="shared" si="0"/>
        <v>0</v>
      </c>
      <c r="Y18" s="44"/>
      <c r="Z18" s="44"/>
      <c r="AA18" s="44"/>
      <c r="AB18" s="44"/>
      <c r="AC18" s="44"/>
      <c r="AD18" s="44"/>
      <c r="AE18" s="44"/>
      <c r="AF18" s="44"/>
      <c r="AG18" s="44"/>
    </row>
    <row r="19" spans="2:33" ht="90.75" customHeight="1" x14ac:dyDescent="0.25">
      <c r="B19" s="35" t="str">
        <f>'[1]1 lentelė'!B19</f>
        <v>1.1.1.1.7</v>
      </c>
      <c r="C19" s="35" t="str">
        <f>'[1]1 lentelė'!C19</f>
        <v>R099905-293400-1107</v>
      </c>
      <c r="D19" s="35" t="str">
        <f>'[1]1 lentelė'!D19</f>
        <v>Prekybos ir paslaugų pasažo įrengimas D. Bukonto gatvėje Zarasų mieste</v>
      </c>
      <c r="E19" s="32" t="s">
        <v>688</v>
      </c>
      <c r="F19" s="32" t="s">
        <v>689</v>
      </c>
      <c r="G19" s="32">
        <v>1230</v>
      </c>
      <c r="H19" s="32" t="s">
        <v>690</v>
      </c>
      <c r="I19" s="32" t="s">
        <v>691</v>
      </c>
      <c r="J19" s="32">
        <v>325</v>
      </c>
      <c r="K19" s="32"/>
      <c r="L19" s="32"/>
      <c r="M19" s="32"/>
      <c r="N19" s="35"/>
      <c r="O19" s="35"/>
      <c r="P19" s="32"/>
      <c r="Q19" s="75"/>
      <c r="R19" s="75"/>
      <c r="S19" s="75"/>
      <c r="T19" s="75"/>
      <c r="U19" s="75"/>
      <c r="V19" s="75"/>
      <c r="W19" s="46">
        <f>SUMIF(Q:Q,"P.N.028",S:S)</f>
        <v>0</v>
      </c>
      <c r="X19" s="333" t="s">
        <v>688</v>
      </c>
      <c r="Y19" s="333" t="s">
        <v>689</v>
      </c>
      <c r="Z19" s="333">
        <v>1050</v>
      </c>
      <c r="AA19" s="333" t="s">
        <v>690</v>
      </c>
      <c r="AB19" s="333" t="s">
        <v>691</v>
      </c>
      <c r="AC19" s="333">
        <v>290</v>
      </c>
      <c r="AD19" s="44"/>
      <c r="AE19" s="44"/>
      <c r="AF19" s="44"/>
      <c r="AG19" s="44"/>
    </row>
    <row r="20" spans="2:33" ht="140.25" customHeight="1" x14ac:dyDescent="0.25">
      <c r="B20" s="35" t="str">
        <f>'[1]1 lentelė'!B20</f>
        <v xml:space="preserve">1.1.1.1.8 </v>
      </c>
      <c r="C20" s="35" t="str">
        <f>'[1]1 lentelė'!C20</f>
        <v>R099905-290000-1108</v>
      </c>
      <c r="D20" s="35" t="str">
        <f>'[1]1 lentelė'!D20</f>
        <v xml:space="preserve">Zarasų miesto viešųjų erdvių kompleksinis sutvarkymas teritorijoje tarp Dariaus ir Girėno g. bei Šiaulių g. ir dviejuose daugiabučių kiemuose P. Širvio gatvėje </v>
      </c>
      <c r="E20" s="32" t="s">
        <v>688</v>
      </c>
      <c r="F20" s="32" t="s">
        <v>689</v>
      </c>
      <c r="G20" s="32">
        <v>18321</v>
      </c>
      <c r="H20" s="32"/>
      <c r="I20" s="32"/>
      <c r="J20" s="32"/>
      <c r="K20" s="32"/>
      <c r="L20" s="32"/>
      <c r="M20" s="32"/>
      <c r="N20" s="35"/>
      <c r="O20" s="35"/>
      <c r="P20" s="32"/>
      <c r="Q20" s="75"/>
      <c r="R20" s="75"/>
      <c r="S20" s="75"/>
      <c r="T20" s="75"/>
      <c r="U20" s="75"/>
      <c r="V20" s="75"/>
      <c r="W20" s="46">
        <f>SUMIF(Q:Q,"P.N.050",S:S)</f>
        <v>0</v>
      </c>
      <c r="X20" s="47">
        <f t="shared" si="0"/>
        <v>0</v>
      </c>
      <c r="Y20" s="46"/>
      <c r="Z20" s="44"/>
      <c r="AA20" s="44"/>
      <c r="AB20" s="44"/>
      <c r="AC20" s="44"/>
      <c r="AD20" s="44"/>
      <c r="AE20" s="44"/>
      <c r="AF20" s="44"/>
      <c r="AG20" s="44"/>
    </row>
    <row r="21" spans="2:33" ht="66" customHeight="1" x14ac:dyDescent="0.25">
      <c r="B21" s="35" t="str">
        <f>'[1]1 lentelė'!B21</f>
        <v>1.1.1.1.9</v>
      </c>
      <c r="C21" s="35" t="str">
        <f>'[1]1 lentelė'!C21</f>
        <v>R099905-290000-1119</v>
      </c>
      <c r="D21" s="35" t="str">
        <f>'[1]1 lentelė'!D21</f>
        <v xml:space="preserve">Molėtų miesto centrinės dalies kompleksinis sutvarkymas (I etapas) </v>
      </c>
      <c r="E21" s="32" t="s">
        <v>688</v>
      </c>
      <c r="F21" s="32" t="s">
        <v>694</v>
      </c>
      <c r="G21" s="32">
        <v>8081.1</v>
      </c>
      <c r="H21" s="32"/>
      <c r="I21" s="32"/>
      <c r="J21" s="32"/>
      <c r="K21" s="32"/>
      <c r="L21" s="32"/>
      <c r="M21" s="32"/>
      <c r="N21" s="35"/>
      <c r="O21" s="35"/>
      <c r="P21" s="32"/>
      <c r="Q21" s="75"/>
      <c r="R21" s="75"/>
      <c r="S21" s="75"/>
      <c r="T21" s="75"/>
      <c r="U21" s="75"/>
      <c r="V21" s="75"/>
      <c r="W21" s="46">
        <f>SUMIF(Q:Q,"P.N.051",S:S)</f>
        <v>0</v>
      </c>
      <c r="X21" s="47">
        <f t="shared" si="0"/>
        <v>0</v>
      </c>
      <c r="Y21" s="46"/>
      <c r="Z21" s="44"/>
      <c r="AA21" s="44"/>
      <c r="AB21" s="44"/>
      <c r="AC21" s="44"/>
      <c r="AD21" s="44"/>
      <c r="AE21" s="44"/>
      <c r="AF21" s="44"/>
      <c r="AG21" s="44"/>
    </row>
    <row r="22" spans="2:33" ht="69" customHeight="1" x14ac:dyDescent="0.25">
      <c r="B22" s="35" t="str">
        <f>'[1]1 lentelė'!B22</f>
        <v xml:space="preserve">1.1.1.1.10 </v>
      </c>
      <c r="C22" s="35" t="str">
        <f>'[1]1 lentelė'!C22</f>
        <v>R099905-282900-1110</v>
      </c>
      <c r="D22" s="35" t="str">
        <f>'[1]1 lentelė'!D22</f>
        <v xml:space="preserve">Viešųjų erdvių Zarasų miesto Didžiojoje saloje sutvarkymas </v>
      </c>
      <c r="E22" s="32" t="s">
        <v>688</v>
      </c>
      <c r="F22" s="32" t="s">
        <v>689</v>
      </c>
      <c r="G22" s="32">
        <v>331458</v>
      </c>
      <c r="H22" s="32"/>
      <c r="I22" s="32"/>
      <c r="J22" s="32"/>
      <c r="K22" s="32"/>
      <c r="L22" s="32"/>
      <c r="M22" s="32"/>
      <c r="N22" s="35"/>
      <c r="O22" s="35"/>
      <c r="P22" s="32"/>
      <c r="Q22" s="75"/>
      <c r="R22" s="75"/>
      <c r="S22" s="75"/>
      <c r="T22" s="75"/>
      <c r="U22" s="75"/>
      <c r="V22" s="75"/>
      <c r="W22" s="46">
        <f>SUMIF(Q:Q,"P.N.053",S:S)</f>
        <v>0</v>
      </c>
      <c r="X22" s="47">
        <f t="shared" si="0"/>
        <v>0</v>
      </c>
      <c r="Y22" s="46"/>
      <c r="Z22" s="44"/>
      <c r="AA22" s="44"/>
      <c r="AB22" s="44"/>
      <c r="AC22" s="44"/>
      <c r="AD22" s="44"/>
      <c r="AE22" s="44"/>
      <c r="AF22" s="44"/>
      <c r="AG22" s="44"/>
    </row>
    <row r="23" spans="2:33" ht="87.75" customHeight="1" x14ac:dyDescent="0.25">
      <c r="B23" s="35" t="str">
        <f>'[1]1 lentelė'!B23</f>
        <v xml:space="preserve">1.1.1.1.11 </v>
      </c>
      <c r="C23" s="35" t="str">
        <f>'[1]1 lentelė'!C23</f>
        <v>R099905-282900-1111</v>
      </c>
      <c r="D23" s="35" t="str">
        <f>'[1]1 lentelė'!D23</f>
        <v xml:space="preserve">Viešųjų erdvių prie Zarasaičio ežero sutvarkymas ir aktyvaus poilsio infrastruktūros įrengimas </v>
      </c>
      <c r="E23" s="32" t="s">
        <v>688</v>
      </c>
      <c r="F23" s="32" t="s">
        <v>689</v>
      </c>
      <c r="G23" s="32">
        <v>46848</v>
      </c>
      <c r="H23" s="32"/>
      <c r="I23" s="32"/>
      <c r="J23" s="32"/>
      <c r="K23" s="32"/>
      <c r="L23" s="32"/>
      <c r="M23" s="32"/>
      <c r="N23" s="35"/>
      <c r="O23" s="35"/>
      <c r="P23" s="32"/>
      <c r="Q23" s="75"/>
      <c r="R23" s="75"/>
      <c r="S23" s="75"/>
      <c r="T23" s="75"/>
      <c r="U23" s="75"/>
      <c r="V23" s="75"/>
      <c r="W23" s="46">
        <f>SUMIF(Q:Q,"P.N.054",S:S)</f>
        <v>27</v>
      </c>
      <c r="X23" s="47">
        <f t="shared" si="0"/>
        <v>27</v>
      </c>
      <c r="Y23" s="46"/>
      <c r="Z23" s="44"/>
      <c r="AA23" s="44"/>
      <c r="AB23" s="44"/>
      <c r="AC23" s="44"/>
      <c r="AD23" s="44"/>
      <c r="AE23" s="44"/>
      <c r="AF23" s="44"/>
      <c r="AG23" s="44"/>
    </row>
    <row r="24" spans="2:33" ht="76.5" x14ac:dyDescent="0.25">
      <c r="B24" s="35" t="str">
        <f>'[1]1 lentelė'!B24</f>
        <v>1.1.1.1.12</v>
      </c>
      <c r="C24" s="35" t="str">
        <f>'[1]1 lentelė'!C24</f>
        <v>R099905-281900-1112</v>
      </c>
      <c r="D24" s="35" t="str">
        <f>'[1]1 lentelė'!D24</f>
        <v xml:space="preserve">Viešosios aktyvaus laisvalaikio infrastruktūros plėtra Molėtų mieste, II etapas </v>
      </c>
      <c r="E24" s="32" t="s">
        <v>688</v>
      </c>
      <c r="F24" s="32" t="s">
        <v>694</v>
      </c>
      <c r="G24" s="32">
        <v>58654</v>
      </c>
      <c r="H24" s="32"/>
      <c r="I24" s="32"/>
      <c r="J24" s="32"/>
      <c r="K24" s="29"/>
      <c r="L24" s="29"/>
      <c r="M24" s="29"/>
      <c r="N24" s="37"/>
      <c r="O24" s="37"/>
      <c r="P24" s="29"/>
      <c r="Q24" s="54"/>
      <c r="R24" s="54"/>
      <c r="S24" s="54"/>
      <c r="T24" s="54"/>
      <c r="U24" s="54"/>
      <c r="V24" s="54"/>
      <c r="W24" s="44">
        <f>SUMIF(Q:Q,"P.N.092",S:S)</f>
        <v>0</v>
      </c>
      <c r="X24" s="45">
        <f t="shared" si="0"/>
        <v>0</v>
      </c>
      <c r="Y24" s="44"/>
      <c r="Z24" s="44"/>
      <c r="AA24" s="44"/>
      <c r="AB24" s="44"/>
      <c r="AC24" s="44"/>
      <c r="AD24" s="44"/>
      <c r="AE24" s="44"/>
      <c r="AF24" s="44"/>
      <c r="AG24" s="44"/>
    </row>
    <row r="25" spans="2:33" ht="90.75" customHeight="1" x14ac:dyDescent="0.25">
      <c r="B25" s="35" t="str">
        <f>'[1]1 lentelė'!B25</f>
        <v>1.1.1.1.13</v>
      </c>
      <c r="C25" s="35" t="str">
        <f>'[1]1 lentelė'!C25</f>
        <v>R099905-302900-1113</v>
      </c>
      <c r="D25" s="35" t="str">
        <f>'[1]1 lentelė'!D25</f>
        <v xml:space="preserve">Molėtų miesto J. Janonio g. gyvenamojo kvartalo viešosios infrastruktūros sutvarkymas </v>
      </c>
      <c r="E25" s="32" t="s">
        <v>688</v>
      </c>
      <c r="F25" s="32" t="s">
        <v>694</v>
      </c>
      <c r="G25" s="32">
        <v>5152.57</v>
      </c>
      <c r="H25" s="32"/>
      <c r="I25" s="32"/>
      <c r="J25" s="32"/>
      <c r="K25" s="29"/>
      <c r="L25" s="29"/>
      <c r="M25" s="29"/>
      <c r="N25" s="37"/>
      <c r="O25" s="37"/>
      <c r="P25" s="29"/>
      <c r="Q25" s="54"/>
      <c r="R25" s="54"/>
      <c r="S25" s="54"/>
      <c r="T25" s="54"/>
      <c r="U25" s="54"/>
      <c r="V25" s="54"/>
      <c r="W25" s="6"/>
      <c r="X25" s="45"/>
      <c r="Y25" s="44"/>
      <c r="Z25" s="44"/>
      <c r="AA25" s="44"/>
      <c r="AB25" s="44"/>
      <c r="AC25" s="44"/>
      <c r="AD25" s="44"/>
      <c r="AE25" s="44"/>
      <c r="AF25" s="44"/>
      <c r="AG25" s="44"/>
    </row>
    <row r="26" spans="2:33" ht="68.25" customHeight="1" x14ac:dyDescent="0.25">
      <c r="B26" s="35" t="str">
        <f>'[2]1 lentelė'!B26</f>
        <v xml:space="preserve">1.1.1.1.14 </v>
      </c>
      <c r="C26" s="35" t="str">
        <f>'[2]1 lentelė'!C26</f>
        <v>R099905-243200-1114</v>
      </c>
      <c r="D26" s="35" t="str">
        <f>'[2]1 lentelė'!D26</f>
        <v xml:space="preserve">Zarasų Pauliaus Širvio progimnazijos sporto aikštyno įrengimas </v>
      </c>
      <c r="E26" s="29" t="s">
        <v>688</v>
      </c>
      <c r="F26" s="29" t="s">
        <v>689</v>
      </c>
      <c r="G26" s="32">
        <v>30387</v>
      </c>
      <c r="H26" s="29"/>
      <c r="I26" s="29"/>
      <c r="J26" s="29"/>
      <c r="K26" s="29"/>
      <c r="L26" s="29"/>
      <c r="M26" s="29"/>
      <c r="N26" s="37"/>
      <c r="O26" s="37"/>
      <c r="P26" s="29"/>
      <c r="Q26" s="54"/>
      <c r="R26" s="54"/>
      <c r="S26" s="54"/>
      <c r="T26" s="54"/>
      <c r="U26" s="54"/>
      <c r="V26" s="54"/>
      <c r="W26" s="44">
        <f>SUMIF(Q:Q,"P.N.304",S:S)</f>
        <v>0</v>
      </c>
      <c r="X26" s="45">
        <f t="shared" ref="X26" si="1">S26+T26+U26+V26+W26</f>
        <v>0</v>
      </c>
      <c r="Y26" s="44"/>
      <c r="Z26" s="44"/>
      <c r="AA26" s="44"/>
      <c r="AB26" s="44"/>
      <c r="AC26" s="44"/>
      <c r="AD26" s="44"/>
      <c r="AE26" s="44"/>
      <c r="AF26" s="44"/>
      <c r="AG26" s="44"/>
    </row>
    <row r="27" spans="2:33" ht="67.5" customHeight="1" x14ac:dyDescent="0.25">
      <c r="B27" s="27" t="str">
        <f>'[1]1 lentelė'!B27</f>
        <v>1.1.1.2</v>
      </c>
      <c r="C27" s="27"/>
      <c r="D27" s="89" t="str">
        <f>'[1]1 lentelė'!D27</f>
        <v>Priemonė: Pereinamojo laikotarpio tikslinių teritorijų vystymas</v>
      </c>
      <c r="E27" s="27"/>
      <c r="F27" s="27"/>
      <c r="G27" s="27"/>
      <c r="H27" s="27"/>
      <c r="I27" s="27"/>
      <c r="J27" s="27"/>
      <c r="K27" s="27"/>
      <c r="L27" s="27"/>
      <c r="M27" s="27"/>
      <c r="N27" s="27"/>
      <c r="O27" s="27"/>
      <c r="P27" s="27"/>
      <c r="Q27" s="27"/>
      <c r="R27" s="27"/>
      <c r="S27" s="27"/>
      <c r="T27" s="27"/>
      <c r="U27" s="27"/>
      <c r="V27" s="27"/>
      <c r="W27" s="44">
        <f>SUMIF(Q:Q,"P.N.403",S:S)</f>
        <v>0</v>
      </c>
      <c r="X27" s="45">
        <f t="shared" si="0"/>
        <v>0</v>
      </c>
      <c r="Y27" s="44"/>
      <c r="Z27" s="44"/>
      <c r="AA27" s="44"/>
      <c r="AB27" s="44"/>
      <c r="AC27" s="44"/>
      <c r="AD27" s="44"/>
      <c r="AE27" s="44"/>
      <c r="AF27" s="44"/>
      <c r="AG27" s="44"/>
    </row>
    <row r="28" spans="2:33" ht="69.75" customHeight="1" x14ac:dyDescent="0.25">
      <c r="B28" s="35" t="str">
        <f>'[1]1 lentelė'!B28</f>
        <v>1.1.1.2.1</v>
      </c>
      <c r="C28" s="35" t="str">
        <f>'[1]1 lentelė'!C28</f>
        <v>R099903-300000-1115</v>
      </c>
      <c r="D28" s="35" t="str">
        <f>'[1]1 lentelė'!D28</f>
        <v xml:space="preserve">Daugiabučių namų kvartalų Ignalinos mieste kompleksinis sutvarkymas </v>
      </c>
      <c r="E28" s="32" t="s">
        <v>688</v>
      </c>
      <c r="F28" s="32" t="s">
        <v>1401</v>
      </c>
      <c r="G28" s="32">
        <v>8290.23</v>
      </c>
      <c r="H28" s="32"/>
      <c r="I28" s="32"/>
      <c r="J28" s="29"/>
      <c r="K28" s="37"/>
      <c r="L28" s="29"/>
      <c r="M28" s="37"/>
      <c r="N28" s="37"/>
      <c r="O28" s="37"/>
      <c r="P28" s="29"/>
      <c r="Q28" s="54"/>
      <c r="R28" s="54"/>
      <c r="S28" s="54"/>
      <c r="T28" s="54"/>
      <c r="U28" s="54"/>
      <c r="V28" s="54"/>
      <c r="W28" s="44">
        <f>SUMIF(Q:Q,"P.N.507",S:S)</f>
        <v>0</v>
      </c>
      <c r="X28" s="45">
        <f t="shared" si="0"/>
        <v>0</v>
      </c>
      <c r="Y28" s="44"/>
      <c r="Z28" s="44"/>
      <c r="AA28" s="44"/>
      <c r="AB28" s="44"/>
      <c r="AC28" s="44"/>
      <c r="AD28" s="44"/>
      <c r="AE28" s="44"/>
      <c r="AF28" s="44"/>
      <c r="AG28" s="44"/>
    </row>
    <row r="29" spans="2:33" ht="104.25" customHeight="1" x14ac:dyDescent="0.25">
      <c r="B29" s="35" t="str">
        <f>'[1]1 lentelė'!B29</f>
        <v>1.1.1.2.2</v>
      </c>
      <c r="C29" s="35" t="str">
        <f>'[1]1 lentelė'!C29</f>
        <v>R099902-310000-1116</v>
      </c>
      <c r="D29" s="35" t="str">
        <f>'[1]1 lentelė'!D29</f>
        <v xml:space="preserve">Apleistų/avarinių pastatų nugriovimas ir teritorijos valymas, regeneruojant buvusį karinį miestelį </v>
      </c>
      <c r="E29" s="32" t="s">
        <v>688</v>
      </c>
      <c r="F29" s="32" t="s">
        <v>1401</v>
      </c>
      <c r="G29" s="32">
        <v>88445</v>
      </c>
      <c r="H29" s="32" t="s">
        <v>690</v>
      </c>
      <c r="I29" s="32" t="s">
        <v>703</v>
      </c>
      <c r="J29" s="32">
        <v>800</v>
      </c>
      <c r="K29" s="37"/>
      <c r="L29" s="29"/>
      <c r="M29" s="37"/>
      <c r="N29" s="37"/>
      <c r="O29" s="37"/>
      <c r="P29" s="29"/>
      <c r="Q29" s="54"/>
      <c r="R29" s="54"/>
      <c r="S29" s="54"/>
      <c r="T29" s="54"/>
      <c r="U29" s="54"/>
      <c r="V29" s="54"/>
      <c r="W29" s="44">
        <f>SUMIF(Q:Q,"P.N.508",S:S)</f>
        <v>0</v>
      </c>
      <c r="X29" s="45">
        <f t="shared" si="0"/>
        <v>0</v>
      </c>
      <c r="Y29" s="44"/>
      <c r="Z29" s="44"/>
      <c r="AA29" s="44"/>
      <c r="AB29" s="44"/>
      <c r="AC29" s="44"/>
      <c r="AD29" s="44"/>
      <c r="AE29" s="44"/>
      <c r="AF29" s="44"/>
      <c r="AG29" s="44"/>
    </row>
    <row r="30" spans="2:33" ht="65.25" customHeight="1" x14ac:dyDescent="0.25">
      <c r="B30" s="35" t="str">
        <f>'[1]1 lentelė'!B30</f>
        <v>1.1.1.2.3</v>
      </c>
      <c r="C30" s="35" t="str">
        <f>'[1]1 lentelė'!C30</f>
        <v>R099902-300000-1117</v>
      </c>
      <c r="D30" s="35" t="str">
        <f>'[1]1 lentelė'!D30</f>
        <v xml:space="preserve">Dauniškio daugiabučių namų kvartalo teritorijos sutvarkymas </v>
      </c>
      <c r="E30" s="32" t="s">
        <v>688</v>
      </c>
      <c r="F30" s="32" t="s">
        <v>694</v>
      </c>
      <c r="G30" s="32">
        <v>55516.7</v>
      </c>
      <c r="H30" s="32"/>
      <c r="I30" s="32"/>
      <c r="J30" s="29"/>
      <c r="K30" s="37"/>
      <c r="L30" s="29"/>
      <c r="M30" s="37"/>
      <c r="N30" s="37"/>
      <c r="O30" s="37"/>
      <c r="P30" s="29"/>
      <c r="Q30" s="54"/>
      <c r="R30" s="54"/>
      <c r="S30" s="54"/>
      <c r="T30" s="54"/>
      <c r="U30" s="54"/>
      <c r="V30" s="54"/>
      <c r="W30" s="44">
        <f>SUMIF(Q:Q,"P.N.671",S:S)</f>
        <v>0</v>
      </c>
      <c r="X30" s="45">
        <f t="shared" si="0"/>
        <v>0</v>
      </c>
      <c r="Y30" s="44"/>
      <c r="Z30" s="44"/>
      <c r="AA30" s="44"/>
      <c r="AB30" s="44"/>
      <c r="AC30" s="44"/>
      <c r="AD30" s="44"/>
      <c r="AE30" s="44"/>
      <c r="AF30" s="44"/>
      <c r="AG30" s="44"/>
    </row>
    <row r="31" spans="2:33" ht="156" customHeight="1" x14ac:dyDescent="0.25">
      <c r="B31" s="26" t="str">
        <f>'[1]1 lentelė'!B31</f>
        <v xml:space="preserve">1.1.2 </v>
      </c>
      <c r="C31" s="26"/>
      <c r="D31" s="338" t="str">
        <f>'[1]1 lentelė'!D31</f>
        <v>Uždavinys: Kompleksiškai atnaujinti 1-6 tūkst. gyventojų turinčių miestų (išskyrus savivaldybių centrus), miestelių ir kaimų bendruomeninę ir viešąją infrastruktūrą</v>
      </c>
      <c r="E31" s="26"/>
      <c r="F31" s="26"/>
      <c r="G31" s="25"/>
      <c r="H31" s="26"/>
      <c r="I31" s="26"/>
      <c r="J31" s="26"/>
      <c r="K31" s="25"/>
      <c r="L31" s="26"/>
      <c r="M31" s="26"/>
      <c r="N31" s="26"/>
      <c r="O31" s="25"/>
      <c r="P31" s="26"/>
      <c r="Q31" s="25"/>
      <c r="R31" s="26"/>
      <c r="S31" s="26"/>
      <c r="T31" s="26"/>
      <c r="U31" s="25"/>
      <c r="V31" s="26"/>
      <c r="W31" s="44">
        <f>SUMIF(Q:Q,"P.N.717",S:S)</f>
        <v>0</v>
      </c>
      <c r="X31" s="45">
        <f t="shared" si="0"/>
        <v>0</v>
      </c>
      <c r="Y31" s="44"/>
      <c r="Z31" s="44"/>
      <c r="AA31" s="44"/>
      <c r="AB31" s="44"/>
      <c r="AC31" s="44"/>
      <c r="AD31" s="44"/>
      <c r="AE31" s="44"/>
      <c r="AF31" s="44"/>
      <c r="AG31" s="44"/>
    </row>
    <row r="32" spans="2:33" ht="69" customHeight="1" x14ac:dyDescent="0.25">
      <c r="B32" s="27" t="str">
        <f>'[1]1 lentelė'!B32</f>
        <v>1.1.2.1</v>
      </c>
      <c r="C32" s="27"/>
      <c r="D32" s="89" t="str">
        <f>'[1]1 lentelė'!D32</f>
        <v>Priemonė: Kaimo gyvenamųjų vietovių atnaujinimas</v>
      </c>
      <c r="E32" s="27"/>
      <c r="F32" s="27"/>
      <c r="G32" s="27"/>
      <c r="H32" s="27"/>
      <c r="I32" s="27"/>
      <c r="J32" s="27"/>
      <c r="K32" s="27"/>
      <c r="L32" s="27"/>
      <c r="M32" s="27"/>
      <c r="N32" s="27"/>
      <c r="O32" s="27"/>
      <c r="P32" s="27"/>
      <c r="Q32" s="27"/>
      <c r="R32" s="27"/>
      <c r="S32" s="27"/>
      <c r="T32" s="27"/>
      <c r="U32" s="27"/>
      <c r="V32" s="27"/>
      <c r="W32" s="44">
        <f>SUMIF(Q:Q,"P.N.722",S:S)</f>
        <v>0</v>
      </c>
      <c r="X32" s="45">
        <f t="shared" si="0"/>
        <v>0</v>
      </c>
      <c r="Y32" s="44"/>
      <c r="Z32" s="44"/>
      <c r="AA32" s="44"/>
      <c r="AB32" s="44"/>
      <c r="AC32" s="44"/>
      <c r="AD32" s="44"/>
      <c r="AE32" s="44"/>
      <c r="AF32" s="44"/>
      <c r="AG32" s="44"/>
    </row>
    <row r="33" spans="2:33" ht="106.5" customHeight="1" x14ac:dyDescent="0.25">
      <c r="B33" s="35" t="str">
        <f>'[1]1 lentelė'!B33</f>
        <v>1.1.2.1.1</v>
      </c>
      <c r="C33" s="35" t="str">
        <f>'[1]1 lentelė'!C33</f>
        <v xml:space="preserve"> R099908-293300-1118</v>
      </c>
      <c r="D33" s="35" t="str">
        <f>'[1]1 lentelė'!D33</f>
        <v>Didžiasalio kaimo viešųjų erdvių atnaujinimas ir pastato dalies patalpų pritaikymas bendruomenės poreikiams</v>
      </c>
      <c r="E33" s="32" t="s">
        <v>705</v>
      </c>
      <c r="F33" s="32" t="s">
        <v>706</v>
      </c>
      <c r="G33" s="32">
        <v>43328.23</v>
      </c>
      <c r="H33" s="32" t="s">
        <v>707</v>
      </c>
      <c r="I33" s="32" t="s">
        <v>708</v>
      </c>
      <c r="J33" s="32">
        <v>84.82</v>
      </c>
      <c r="K33" s="32"/>
      <c r="L33" s="29"/>
      <c r="M33" s="29"/>
      <c r="N33" s="29"/>
      <c r="O33" s="29"/>
      <c r="P33" s="29"/>
      <c r="Q33" s="54"/>
      <c r="R33" s="74"/>
      <c r="S33" s="74"/>
      <c r="T33" s="74"/>
      <c r="U33" s="74"/>
      <c r="V33" s="74"/>
      <c r="W33" s="6"/>
      <c r="X33" s="45"/>
      <c r="Y33" s="44"/>
      <c r="Z33" s="44"/>
      <c r="AA33" s="44"/>
      <c r="AB33" s="44"/>
      <c r="AC33" s="44"/>
      <c r="AD33" s="44"/>
      <c r="AE33" s="44"/>
      <c r="AF33" s="44"/>
      <c r="AG33" s="44"/>
    </row>
    <row r="34" spans="2:33" ht="181.5" customHeight="1" x14ac:dyDescent="0.25">
      <c r="B34" s="48" t="str">
        <f>'[1]1 lentelė'!B34</f>
        <v xml:space="preserve">1.1.3 </v>
      </c>
      <c r="C34" s="48"/>
      <c r="D34" s="48" t="str">
        <f>'[1]1 lentelė'!D34</f>
        <v>Uždavinys: Kompleksiškai atnaujinti mažiau kaip 1 tūkst. gyventojų turinčių miestų, miestelių ir kaimų (iki 1 tūkst. gyv.) viešąją infrastruktūrą (taikant kaimo plėtros politikos priemones)</v>
      </c>
      <c r="E34" s="48"/>
      <c r="F34" s="48"/>
      <c r="G34" s="48"/>
      <c r="H34" s="48"/>
      <c r="I34" s="48"/>
      <c r="J34" s="48"/>
      <c r="K34" s="48"/>
      <c r="L34" s="48"/>
      <c r="M34" s="48"/>
      <c r="N34" s="48"/>
      <c r="O34" s="49"/>
      <c r="P34" s="48"/>
      <c r="Q34" s="48"/>
      <c r="R34" s="48"/>
      <c r="S34" s="48"/>
      <c r="T34" s="48"/>
      <c r="U34" s="49"/>
      <c r="V34" s="48"/>
      <c r="W34" s="6"/>
      <c r="X34" s="45"/>
      <c r="Y34" s="44"/>
      <c r="Z34" s="44"/>
      <c r="AA34" s="44"/>
      <c r="AB34" s="44"/>
      <c r="AC34" s="44"/>
      <c r="AD34" s="44"/>
      <c r="AE34" s="44"/>
      <c r="AF34" s="44"/>
      <c r="AG34" s="44"/>
    </row>
    <row r="35" spans="2:33" ht="90" customHeight="1" x14ac:dyDescent="0.25">
      <c r="B35" s="50" t="str">
        <f>'[1]1 lentelė'!B35</f>
        <v xml:space="preserve">1.1.3.1 </v>
      </c>
      <c r="C35" s="50"/>
      <c r="D35" s="339" t="str">
        <f>'[1]1 lentelė'!D35</f>
        <v>Priemonė (KPP veiklos sritis): Parama investicijoms į visų rūšių mažos apimties infrastruktūrą</v>
      </c>
      <c r="E35" s="50"/>
      <c r="F35" s="50"/>
      <c r="G35" s="50"/>
      <c r="H35" s="50"/>
      <c r="I35" s="50"/>
      <c r="J35" s="50"/>
      <c r="K35" s="50"/>
      <c r="L35" s="50"/>
      <c r="M35" s="50"/>
      <c r="N35" s="50"/>
      <c r="O35" s="50"/>
      <c r="P35" s="50"/>
      <c r="Q35" s="50"/>
      <c r="R35" s="50"/>
      <c r="S35" s="50"/>
      <c r="T35" s="50"/>
      <c r="U35" s="50"/>
      <c r="V35" s="50"/>
      <c r="W35" s="44"/>
      <c r="X35" s="45"/>
      <c r="Y35" s="44"/>
      <c r="Z35" s="44"/>
      <c r="AA35" s="44"/>
      <c r="AB35" s="44"/>
      <c r="AC35" s="44"/>
      <c r="AD35" s="44"/>
      <c r="AE35" s="44"/>
      <c r="AF35" s="44"/>
      <c r="AG35" s="44"/>
    </row>
    <row r="36" spans="2:33" ht="90" customHeight="1" x14ac:dyDescent="0.25">
      <c r="B36" s="32" t="str">
        <f>'1 lentelė'!B36</f>
        <v>1.1.3.1.-1.1.3.28</v>
      </c>
      <c r="C36" s="32"/>
      <c r="D36" s="346" t="str">
        <f>'1 lentelė'!D36</f>
        <v>Pagrindinės paslaugos ir kaimų atnaujinimas kaimo vietovėse</v>
      </c>
      <c r="E36" s="32"/>
      <c r="F36" s="32" t="s">
        <v>1483</v>
      </c>
      <c r="G36" s="32"/>
      <c r="H36" s="32"/>
      <c r="I36" s="32"/>
      <c r="J36" s="32"/>
      <c r="K36" s="32"/>
      <c r="L36" s="32"/>
      <c r="M36" s="32"/>
      <c r="N36" s="32"/>
      <c r="O36" s="32"/>
      <c r="P36" s="32"/>
      <c r="Q36" s="32"/>
      <c r="R36" s="32"/>
      <c r="S36" s="32"/>
      <c r="T36" s="32"/>
      <c r="U36" s="32"/>
      <c r="V36" s="32"/>
      <c r="W36" s="44"/>
      <c r="X36" s="45"/>
      <c r="Y36" s="44"/>
      <c r="Z36" s="44"/>
      <c r="AA36" s="44"/>
      <c r="AB36" s="44"/>
      <c r="AC36" s="44"/>
      <c r="AD36" s="44"/>
      <c r="AE36" s="44"/>
      <c r="AF36" s="44"/>
      <c r="AG36" s="44"/>
    </row>
    <row r="37" spans="2:33" ht="105.75" customHeight="1" x14ac:dyDescent="0.25">
      <c r="B37" s="50" t="str">
        <f>'[1]1 lentelė'!B36</f>
        <v>1.1.3.2</v>
      </c>
      <c r="C37" s="50"/>
      <c r="D37" s="339" t="str">
        <f>'[1]1 lentelė'!D36</f>
        <v>Priemonė (KPP veiklos sritis): Parama investicijoms į kaimo kultūros ir gamtos paveldą, kraštovaizdį</v>
      </c>
      <c r="E37" s="50"/>
      <c r="F37" s="50"/>
      <c r="G37" s="50"/>
      <c r="H37" s="50"/>
      <c r="I37" s="50"/>
      <c r="J37" s="50"/>
      <c r="K37" s="50"/>
      <c r="L37" s="50"/>
      <c r="M37" s="50"/>
      <c r="N37" s="50"/>
      <c r="O37" s="50"/>
      <c r="P37" s="50"/>
      <c r="Q37" s="50"/>
      <c r="R37" s="50"/>
      <c r="S37" s="50"/>
      <c r="T37" s="50"/>
      <c r="U37" s="50"/>
      <c r="V37" s="50"/>
      <c r="W37" s="44"/>
      <c r="X37" s="45"/>
      <c r="Y37" s="44"/>
      <c r="Z37" s="44"/>
      <c r="AA37" s="44"/>
      <c r="AB37" s="44"/>
      <c r="AC37" s="44"/>
      <c r="AD37" s="44"/>
      <c r="AE37" s="44"/>
      <c r="AF37" s="44"/>
      <c r="AG37" s="44"/>
    </row>
    <row r="38" spans="2:33" ht="102" x14ac:dyDescent="0.25">
      <c r="B38" s="51" t="str">
        <f>'[1]1 lentelė'!B37</f>
        <v xml:space="preserve">1.2 </v>
      </c>
      <c r="C38" s="51"/>
      <c r="D38" s="51" t="str">
        <f>'[1]1 lentelė'!D37</f>
        <v>Tikslas: Modernios regiono transporto infrastruktūros ir darnaus judumo plėtojimas</v>
      </c>
      <c r="E38" s="51"/>
      <c r="F38" s="51"/>
      <c r="G38" s="51"/>
      <c r="H38" s="51"/>
      <c r="I38" s="51"/>
      <c r="J38" s="51"/>
      <c r="K38" s="51"/>
      <c r="L38" s="51"/>
      <c r="M38" s="52"/>
      <c r="N38" s="52"/>
      <c r="O38" s="52"/>
      <c r="P38" s="51"/>
      <c r="Q38" s="51"/>
      <c r="R38" s="51"/>
      <c r="S38" s="52"/>
      <c r="T38" s="52"/>
      <c r="U38" s="52"/>
      <c r="V38" s="51"/>
      <c r="W38" s="44"/>
      <c r="X38" s="45"/>
      <c r="Y38" s="44"/>
      <c r="Z38" s="44"/>
      <c r="AA38" s="44"/>
      <c r="AB38" s="44"/>
      <c r="AC38" s="44"/>
      <c r="AD38" s="44"/>
      <c r="AE38" s="44"/>
      <c r="AF38" s="44"/>
      <c r="AG38" s="44"/>
    </row>
    <row r="39" spans="2:33" ht="66" customHeight="1" x14ac:dyDescent="0.25">
      <c r="B39" s="48" t="str">
        <f>'[1]1 lentelė'!B38</f>
        <v xml:space="preserve">1.2.1 </v>
      </c>
      <c r="C39" s="48"/>
      <c r="D39" s="48" t="str">
        <f>'[1]1 lentelė'!D38</f>
        <v>Uždavinys: Kompleksiškai modernizuoti kelių transporto infrastruktūrą</v>
      </c>
      <c r="E39" s="48"/>
      <c r="F39" s="48"/>
      <c r="G39" s="48"/>
      <c r="H39" s="48"/>
      <c r="I39" s="48"/>
      <c r="J39" s="48"/>
      <c r="K39" s="48"/>
      <c r="L39" s="48"/>
      <c r="M39" s="48"/>
      <c r="N39" s="48"/>
      <c r="O39" s="49"/>
      <c r="P39" s="48"/>
      <c r="Q39" s="48"/>
      <c r="R39" s="48"/>
      <c r="S39" s="48"/>
      <c r="T39" s="48"/>
      <c r="U39" s="49"/>
      <c r="V39" s="48"/>
      <c r="W39" s="44"/>
      <c r="X39" s="45"/>
      <c r="Y39" s="44"/>
      <c r="Z39" s="44"/>
      <c r="AA39" s="44"/>
      <c r="AB39" s="44"/>
      <c r="AC39" s="44"/>
      <c r="AD39" s="44"/>
      <c r="AE39" s="44"/>
      <c r="AF39" s="44"/>
      <c r="AG39" s="44"/>
    </row>
    <row r="40" spans="2:33" ht="40.5" customHeight="1" x14ac:dyDescent="0.25">
      <c r="B40" s="50" t="str">
        <f>'[1]1 lentelė'!B39</f>
        <v>1.2.1.1</v>
      </c>
      <c r="C40" s="50"/>
      <c r="D40" s="90" t="str">
        <f>'[1]1 lentelė'!D39</f>
        <v>Priemonė:Vietinių kelių vystymas</v>
      </c>
      <c r="E40" s="50"/>
      <c r="F40" s="50"/>
      <c r="G40" s="50"/>
      <c r="H40" s="50"/>
      <c r="I40" s="50"/>
      <c r="J40" s="50"/>
      <c r="K40" s="50"/>
      <c r="L40" s="50"/>
      <c r="M40" s="50"/>
      <c r="N40" s="50"/>
      <c r="O40" s="50"/>
      <c r="P40" s="50"/>
      <c r="Q40" s="50"/>
      <c r="R40" s="50"/>
      <c r="S40" s="50"/>
      <c r="T40" s="50"/>
      <c r="U40" s="50"/>
      <c r="V40" s="50"/>
      <c r="W40" s="44"/>
      <c r="X40" s="45"/>
      <c r="Y40" s="44"/>
      <c r="Z40" s="44"/>
      <c r="AA40" s="44"/>
      <c r="AB40" s="44"/>
      <c r="AC40" s="44"/>
      <c r="AD40" s="44"/>
      <c r="AE40" s="44"/>
      <c r="AF40" s="44"/>
      <c r="AG40" s="44"/>
    </row>
    <row r="41" spans="2:33" ht="78" customHeight="1" x14ac:dyDescent="0.25">
      <c r="B41" s="35" t="str">
        <f>'[1]1 lentelė'!B40</f>
        <v>1.2.1.1.1</v>
      </c>
      <c r="C41" s="35" t="str">
        <f>'[1]1 lentelė'!C40</f>
        <v>R095511-110000-1201</v>
      </c>
      <c r="D41" s="35" t="str">
        <f>'[1]1 lentelė'!D40</f>
        <v>Gatvės Ignalinos miesto rekreacinėje zonoje tarp Gavio ežero ir Turistų gatvės įrengimas</v>
      </c>
      <c r="E41" s="32" t="s">
        <v>704</v>
      </c>
      <c r="F41" s="32" t="s">
        <v>713</v>
      </c>
      <c r="G41" s="53">
        <v>0.34699999999999998</v>
      </c>
      <c r="H41" s="32"/>
      <c r="I41" s="32"/>
      <c r="J41" s="32"/>
      <c r="K41" s="32"/>
      <c r="L41" s="29"/>
      <c r="M41" s="29"/>
      <c r="N41" s="29"/>
      <c r="O41" s="29"/>
      <c r="P41" s="29"/>
      <c r="Q41" s="54"/>
      <c r="R41" s="74"/>
      <c r="S41" s="74"/>
      <c r="T41" s="74"/>
      <c r="U41" s="74"/>
      <c r="V41" s="74"/>
      <c r="W41" s="44"/>
      <c r="X41" s="45"/>
      <c r="Y41" s="44"/>
      <c r="Z41" s="44"/>
      <c r="AA41" s="44"/>
      <c r="AB41" s="44"/>
      <c r="AC41" s="44"/>
      <c r="AD41" s="44"/>
      <c r="AE41" s="44"/>
      <c r="AF41" s="44"/>
      <c r="AG41" s="44"/>
    </row>
    <row r="42" spans="2:33" ht="114.75" x14ac:dyDescent="0.25">
      <c r="B42" s="35" t="str">
        <f>'[1]1 lentelė'!B41</f>
        <v xml:space="preserve">1.2.1.1.2 </v>
      </c>
      <c r="C42" s="35" t="str">
        <f>'[1]1 lentelė'!C41</f>
        <v>R095511-120000-1202</v>
      </c>
      <c r="D42" s="35" t="str">
        <f>'[1]1 lentelė'!D41</f>
        <v>Zarasų gatvės rekonstrukcija Zarasų mieste</v>
      </c>
      <c r="E42" s="32" t="s">
        <v>693</v>
      </c>
      <c r="F42" s="32" t="s">
        <v>715</v>
      </c>
      <c r="G42" s="32">
        <v>0.13</v>
      </c>
      <c r="H42" s="340"/>
      <c r="I42" s="340"/>
      <c r="J42" s="340"/>
      <c r="K42" s="32"/>
      <c r="L42" s="29"/>
      <c r="M42" s="29"/>
      <c r="N42" s="29"/>
      <c r="O42" s="29"/>
      <c r="P42" s="29"/>
      <c r="Q42" s="54"/>
      <c r="R42" s="74"/>
      <c r="S42" s="74"/>
      <c r="T42" s="74"/>
      <c r="U42" s="74"/>
      <c r="V42" s="74"/>
      <c r="W42" s="44"/>
      <c r="X42" s="333" t="s">
        <v>693</v>
      </c>
      <c r="Y42" s="333" t="s">
        <v>715</v>
      </c>
      <c r="Z42" s="333">
        <v>0.125</v>
      </c>
      <c r="AA42" s="333" t="s">
        <v>716</v>
      </c>
      <c r="AB42" s="333" t="s">
        <v>717</v>
      </c>
      <c r="AC42" s="333">
        <v>1</v>
      </c>
      <c r="AD42" s="44"/>
      <c r="AE42" s="44"/>
      <c r="AF42" s="44"/>
      <c r="AG42" s="44"/>
    </row>
    <row r="43" spans="2:33" ht="141.75" customHeight="1" x14ac:dyDescent="0.25">
      <c r="B43" s="35" t="str">
        <f>'[1]1 lentelė'!B42</f>
        <v>1.2.1.1.3</v>
      </c>
      <c r="C43" s="35" t="str">
        <f>'[1]1 lentelė'!C42</f>
        <v>R095511-121100-1203</v>
      </c>
      <c r="D43" s="35" t="str">
        <f>'[1]1 lentelė'!D42</f>
        <v xml:space="preserve">Susisiekimo sąlygų pagerinimas tarp kuriamų Anykščių miesto traukos centrų bei patogus gyvenamosios aplinkos pasiekiamumo užtikrinimas. </v>
      </c>
      <c r="E43" s="32" t="s">
        <v>693</v>
      </c>
      <c r="F43" s="32" t="s">
        <v>715</v>
      </c>
      <c r="G43" s="53">
        <v>1.0089999999999999</v>
      </c>
      <c r="H43" s="32" t="s">
        <v>716</v>
      </c>
      <c r="I43" s="32" t="s">
        <v>717</v>
      </c>
      <c r="J43" s="32">
        <v>4</v>
      </c>
      <c r="K43" s="32" t="s">
        <v>704</v>
      </c>
      <c r="L43" s="32" t="s">
        <v>713</v>
      </c>
      <c r="M43" s="53">
        <v>0.23599999999999999</v>
      </c>
      <c r="N43" s="54"/>
      <c r="O43" s="54"/>
      <c r="P43" s="54"/>
      <c r="Q43" s="54"/>
      <c r="R43" s="74"/>
      <c r="S43" s="74"/>
      <c r="T43" s="74"/>
      <c r="U43" s="74"/>
      <c r="V43" s="74"/>
      <c r="W43" s="44"/>
      <c r="X43" s="45"/>
      <c r="Y43" s="44"/>
      <c r="Z43" s="44"/>
      <c r="AA43" s="44"/>
      <c r="AB43" s="44"/>
      <c r="AC43" s="44"/>
      <c r="AD43" s="44"/>
      <c r="AE43" s="44"/>
      <c r="AF43" s="44"/>
      <c r="AG43" s="44"/>
    </row>
    <row r="44" spans="2:33" ht="95.25" customHeight="1" x14ac:dyDescent="0.25">
      <c r="B44" s="35" t="str">
        <f>'[1]1 lentelė'!B43</f>
        <v>1.2.1.1.4</v>
      </c>
      <c r="C44" s="35" t="str">
        <f>'[1]1 lentelė'!C43</f>
        <v>R095511-120000-1204</v>
      </c>
      <c r="D44" s="35" t="str">
        <f>'[1]1 lentelė'!D43</f>
        <v>Gyvenamosios aplinkos pasiekiamumo gerinimas Zarasų mieste rekonstruojant K. Donelaičio gatvę</v>
      </c>
      <c r="E44" s="32" t="s">
        <v>693</v>
      </c>
      <c r="F44" s="32" t="s">
        <v>715</v>
      </c>
      <c r="G44" s="32">
        <v>1.23</v>
      </c>
      <c r="H44" s="32" t="s">
        <v>716</v>
      </c>
      <c r="I44" s="32" t="s">
        <v>717</v>
      </c>
      <c r="J44" s="32">
        <v>1</v>
      </c>
      <c r="K44" s="32"/>
      <c r="L44" s="32"/>
      <c r="M44" s="32"/>
      <c r="N44" s="29"/>
      <c r="O44" s="29"/>
      <c r="P44" s="29"/>
      <c r="Q44" s="54"/>
      <c r="R44" s="74"/>
      <c r="S44" s="74"/>
      <c r="T44" s="74"/>
      <c r="U44" s="74"/>
      <c r="V44" s="74"/>
      <c r="W44" s="44"/>
      <c r="X44" s="45"/>
      <c r="Y44" s="44"/>
      <c r="Z44" s="44"/>
      <c r="AA44" s="44"/>
      <c r="AB44" s="44"/>
      <c r="AC44" s="44"/>
      <c r="AD44" s="44"/>
      <c r="AE44" s="44"/>
      <c r="AF44" s="44"/>
      <c r="AG44" s="44"/>
    </row>
    <row r="45" spans="2:33" ht="78.75" customHeight="1" x14ac:dyDescent="0.25">
      <c r="B45" s="35" t="str">
        <f>'[1]1 lentelė'!B44</f>
        <v>1.2.1.1.5</v>
      </c>
      <c r="C45" s="35" t="str">
        <f>'[1]1 lentelė'!C44</f>
        <v>R095511-120000-1205</v>
      </c>
      <c r="D45" s="35" t="str">
        <f>'[1]1 lentelė'!D44</f>
        <v xml:space="preserve">Molėtų miesto Pastovio g., Siesarties g. ir S. Nėries g. rekonstrukcija </v>
      </c>
      <c r="E45" s="32" t="s">
        <v>693</v>
      </c>
      <c r="F45" s="32" t="s">
        <v>715</v>
      </c>
      <c r="G45" s="32">
        <v>0.71</v>
      </c>
      <c r="H45" s="32" t="s">
        <v>716</v>
      </c>
      <c r="I45" s="32" t="s">
        <v>717</v>
      </c>
      <c r="J45" s="32">
        <v>1</v>
      </c>
      <c r="K45" s="32"/>
      <c r="L45" s="32"/>
      <c r="M45" s="32"/>
      <c r="N45" s="29"/>
      <c r="O45" s="29"/>
      <c r="P45" s="29"/>
      <c r="Q45" s="54"/>
      <c r="R45" s="74"/>
      <c r="S45" s="74"/>
      <c r="T45" s="74"/>
      <c r="U45" s="74"/>
      <c r="V45" s="74"/>
      <c r="W45" s="44"/>
      <c r="X45" s="45"/>
      <c r="Y45" s="44"/>
      <c r="Z45" s="44"/>
      <c r="AA45" s="44"/>
      <c r="AB45" s="44"/>
      <c r="AC45" s="44"/>
      <c r="AD45" s="44"/>
      <c r="AE45" s="44"/>
      <c r="AF45" s="44"/>
      <c r="AG45" s="44"/>
    </row>
    <row r="46" spans="2:33" ht="100.5" customHeight="1" x14ac:dyDescent="0.25">
      <c r="B46" s="35" t="str">
        <f>'[1]1 lentelė'!B45</f>
        <v>1.2.1.1.6</v>
      </c>
      <c r="C46" s="35" t="str">
        <f>'[1]1 lentelė'!C45</f>
        <v>R095511-120000-1206</v>
      </c>
      <c r="D46" s="35" t="str">
        <f>'[1]1 lentelė'!D45</f>
        <v xml:space="preserve">Aušros gatvės dalies nuo Gedimino ir Tauragnų gatvių sankryžos iki Žaliosios gatvės Utenoje rekonstrukcija. </v>
      </c>
      <c r="E46" s="32" t="s">
        <v>693</v>
      </c>
      <c r="F46" s="32" t="s">
        <v>715</v>
      </c>
      <c r="G46" s="32">
        <v>0.76</v>
      </c>
      <c r="H46" s="32" t="s">
        <v>716</v>
      </c>
      <c r="I46" s="32" t="s">
        <v>717</v>
      </c>
      <c r="J46" s="32">
        <v>1</v>
      </c>
      <c r="K46" s="32"/>
      <c r="L46" s="29"/>
      <c r="M46" s="29"/>
      <c r="N46" s="29"/>
      <c r="O46" s="29"/>
      <c r="P46" s="29"/>
      <c r="Q46" s="54"/>
      <c r="R46" s="74"/>
      <c r="S46" s="74"/>
      <c r="T46" s="74"/>
      <c r="U46" s="74"/>
      <c r="V46" s="74"/>
      <c r="W46" s="44"/>
      <c r="X46" s="45"/>
      <c r="Y46" s="44"/>
      <c r="Z46" s="44"/>
      <c r="AA46" s="44"/>
      <c r="AB46" s="44"/>
      <c r="AC46" s="44"/>
      <c r="AD46" s="44"/>
      <c r="AE46" s="44"/>
      <c r="AF46" s="44"/>
      <c r="AG46" s="44"/>
    </row>
    <row r="47" spans="2:33" ht="80.25" customHeight="1" x14ac:dyDescent="0.25">
      <c r="B47" s="35" t="str">
        <f>'[1]1 lentelė'!B46</f>
        <v>1.2.1.1.7</v>
      </c>
      <c r="C47" s="35" t="str">
        <f>'[1]1 lentelė'!C46</f>
        <v>R095511-120000-1207</v>
      </c>
      <c r="D47" s="35" t="str">
        <f>'[1]1 lentelė'!D46</f>
        <v>Vietinės reikšmės kelio Visagino-Parko-Sedulinos al. kvartale rekonstravimas</v>
      </c>
      <c r="E47" s="32" t="s">
        <v>693</v>
      </c>
      <c r="F47" s="32" t="s">
        <v>1402</v>
      </c>
      <c r="G47" s="32">
        <v>1.36</v>
      </c>
      <c r="H47" s="32" t="s">
        <v>716</v>
      </c>
      <c r="I47" s="32" t="s">
        <v>717</v>
      </c>
      <c r="J47" s="32">
        <v>1</v>
      </c>
      <c r="K47" s="29"/>
      <c r="L47" s="29"/>
      <c r="M47" s="29"/>
      <c r="N47" s="29"/>
      <c r="O47" s="29"/>
      <c r="P47" s="29"/>
      <c r="Q47" s="54"/>
      <c r="R47" s="74"/>
      <c r="S47" s="74"/>
      <c r="T47" s="74"/>
      <c r="U47" s="74"/>
      <c r="V47" s="74"/>
      <c r="W47" s="44"/>
      <c r="X47" s="45"/>
      <c r="Y47" s="44"/>
      <c r="Z47" s="44"/>
      <c r="AA47" s="44"/>
      <c r="AB47" s="44"/>
      <c r="AC47" s="44"/>
      <c r="AD47" s="44"/>
      <c r="AE47" s="44"/>
      <c r="AF47" s="44"/>
      <c r="AG47" s="44"/>
    </row>
    <row r="48" spans="2:33" ht="94.5" customHeight="1" x14ac:dyDescent="0.25">
      <c r="B48" s="35" t="str">
        <f>'[1]1 lentelė'!B47</f>
        <v>1.2.1.1.8</v>
      </c>
      <c r="C48" s="35" t="str">
        <f>'[1]1 lentelė'!C47</f>
        <v>R095511-120000-1208</v>
      </c>
      <c r="D48" s="35" t="str">
        <f>'[1]1 lentelė'!D47</f>
        <v>Gyvenamosios aplinkos pasiekiamumo gerinimas Zarasų mieste rekonstruojant E. Pliaterytės gatvę</v>
      </c>
      <c r="E48" s="32" t="s">
        <v>693</v>
      </c>
      <c r="F48" s="32" t="s">
        <v>715</v>
      </c>
      <c r="G48" s="32">
        <v>0.14000000000000001</v>
      </c>
      <c r="H48" s="32"/>
      <c r="I48" s="32"/>
      <c r="J48" s="32"/>
      <c r="K48" s="29"/>
      <c r="L48" s="29"/>
      <c r="M48" s="29"/>
      <c r="N48" s="29"/>
      <c r="O48" s="29"/>
      <c r="P48" s="29"/>
      <c r="Q48" s="54"/>
      <c r="R48" s="74"/>
      <c r="S48" s="74"/>
      <c r="T48" s="74"/>
      <c r="U48" s="74"/>
      <c r="V48" s="74"/>
      <c r="W48" s="44"/>
      <c r="X48" s="45"/>
      <c r="Y48" s="44" t="s">
        <v>693</v>
      </c>
      <c r="Z48" s="44" t="s">
        <v>715</v>
      </c>
      <c r="AA48" s="44">
        <v>0.13800000000000001</v>
      </c>
      <c r="AB48" s="44"/>
      <c r="AC48" s="44"/>
      <c r="AD48" s="44"/>
      <c r="AE48" s="44"/>
      <c r="AF48" s="44"/>
      <c r="AG48" s="44"/>
    </row>
    <row r="49" spans="2:33" ht="118.5" customHeight="1" x14ac:dyDescent="0.25">
      <c r="B49" s="35" t="str">
        <f>'[1]1 lentelė'!B48</f>
        <v>1.2.1.1.9</v>
      </c>
      <c r="C49" s="35" t="str">
        <f>'[1]1 lentelė'!C48</f>
        <v>R095511-120000-1220</v>
      </c>
      <c r="D49" s="35" t="str">
        <f>'[1]1 lentelė'!D48</f>
        <v>Eismo sąlygų pagerinimas ir gyvenamosios aplinkos pasiekiamumo užtikrinimas, rekonstruojant Žvejų gatvę Anykščių mieste</v>
      </c>
      <c r="E49" s="340"/>
      <c r="F49" s="340"/>
      <c r="G49" s="341"/>
      <c r="H49" s="32" t="s">
        <v>716</v>
      </c>
      <c r="I49" s="32" t="s">
        <v>717</v>
      </c>
      <c r="J49" s="32">
        <v>1</v>
      </c>
      <c r="K49" s="29"/>
      <c r="L49" s="29"/>
      <c r="M49" s="29"/>
      <c r="N49" s="29"/>
      <c r="O49" s="29"/>
      <c r="P49" s="29"/>
      <c r="Q49" s="54"/>
      <c r="R49" s="74"/>
      <c r="S49" s="74"/>
      <c r="T49" s="74"/>
      <c r="U49" s="74"/>
      <c r="V49" s="74"/>
      <c r="W49" s="44"/>
      <c r="X49" s="45"/>
      <c r="Y49" s="44"/>
      <c r="Z49" s="44"/>
      <c r="AA49" s="44"/>
      <c r="AB49" s="44"/>
      <c r="AC49" s="44"/>
      <c r="AD49" s="44"/>
      <c r="AE49" s="44"/>
      <c r="AF49" s="44"/>
      <c r="AG49" s="44"/>
    </row>
    <row r="50" spans="2:33" ht="65.25" customHeight="1" x14ac:dyDescent="0.25">
      <c r="B50" s="35" t="str">
        <f>'[1]1 lentelė'!B49</f>
        <v>1.2.1.1.10</v>
      </c>
      <c r="C50" s="35" t="str">
        <f>'[1]1 lentelė'!C49</f>
        <v>R095511-120000-1221</v>
      </c>
      <c r="D50" s="35" t="str">
        <f>'[1]1 lentelė'!D49</f>
        <v>Ignalinos miesto Ligoninės gatvės dalies rekonstrukcija</v>
      </c>
      <c r="E50" s="29" t="s">
        <v>693</v>
      </c>
      <c r="F50" s="29" t="s">
        <v>715</v>
      </c>
      <c r="G50" s="55">
        <v>0.2</v>
      </c>
      <c r="H50" s="29"/>
      <c r="I50" s="29"/>
      <c r="J50" s="29"/>
      <c r="K50" s="29"/>
      <c r="L50" s="55"/>
      <c r="M50" s="29"/>
      <c r="N50" s="29"/>
      <c r="O50" s="29"/>
      <c r="P50" s="29"/>
      <c r="Q50" s="54"/>
      <c r="R50" s="74"/>
      <c r="S50" s="74"/>
      <c r="T50" s="74"/>
      <c r="U50" s="74"/>
      <c r="V50" s="74"/>
      <c r="W50" s="44"/>
      <c r="X50" s="45"/>
      <c r="Y50" s="44"/>
      <c r="Z50" s="44"/>
      <c r="AA50" s="44"/>
      <c r="AB50" s="44"/>
      <c r="AC50" s="44"/>
      <c r="AD50" s="44"/>
      <c r="AE50" s="44"/>
      <c r="AF50" s="44"/>
      <c r="AG50" s="44"/>
    </row>
    <row r="51" spans="2:33" ht="79.5" customHeight="1" x14ac:dyDescent="0.25">
      <c r="B51" s="35" t="str">
        <f>'[1]1 lentelė'!B50</f>
        <v>1.2.1.1.11</v>
      </c>
      <c r="C51" s="35" t="str">
        <f>'[1]1 lentelė'!C50</f>
        <v>R095511-120000-1222</v>
      </c>
      <c r="D51" s="35" t="str">
        <f>'[1]1 lentelė'!D50</f>
        <v>Saugaus eismo priemonių diegimas Ignalinos rajono keliuose</v>
      </c>
      <c r="E51" s="29" t="s">
        <v>716</v>
      </c>
      <c r="F51" s="29" t="s">
        <v>717</v>
      </c>
      <c r="G51" s="29">
        <v>1</v>
      </c>
      <c r="H51" s="29"/>
      <c r="I51" s="29"/>
      <c r="J51" s="29"/>
      <c r="K51" s="29"/>
      <c r="L51" s="29"/>
      <c r="M51" s="29"/>
      <c r="N51" s="29"/>
      <c r="O51" s="29"/>
      <c r="P51" s="29"/>
      <c r="Q51" s="54"/>
      <c r="R51" s="74"/>
      <c r="S51" s="74"/>
      <c r="T51" s="74"/>
      <c r="U51" s="74"/>
      <c r="V51" s="74"/>
      <c r="W51" s="44"/>
      <c r="X51" s="45"/>
      <c r="Y51" s="44"/>
      <c r="Z51" s="44"/>
      <c r="AA51" s="44"/>
      <c r="AB51" s="44"/>
      <c r="AC51" s="44"/>
      <c r="AD51" s="44"/>
      <c r="AE51" s="44"/>
      <c r="AF51" s="44"/>
      <c r="AG51" s="44"/>
    </row>
    <row r="52" spans="2:33" ht="75" customHeight="1" x14ac:dyDescent="0.25">
      <c r="B52" s="35" t="str">
        <f>'[1]1 lentelė'!B51</f>
        <v>1.2.1.1.12</v>
      </c>
      <c r="C52" s="35" t="str">
        <f>'[1]1 lentelė'!C51</f>
        <v>R095511-120000-1223</v>
      </c>
      <c r="D52" s="35" t="str">
        <f>'[1]1 lentelė'!D51</f>
        <v>Saugaus eismo priemonių diegimas Molėtų rajono  Giedraičių miestelyje</v>
      </c>
      <c r="E52" s="29" t="s">
        <v>716</v>
      </c>
      <c r="F52" s="29" t="s">
        <v>717</v>
      </c>
      <c r="G52" s="29">
        <v>1</v>
      </c>
      <c r="H52" s="29"/>
      <c r="I52" s="29"/>
      <c r="J52" s="29"/>
      <c r="K52" s="29"/>
      <c r="L52" s="29"/>
      <c r="M52" s="29"/>
      <c r="N52" s="29"/>
      <c r="O52" s="29"/>
      <c r="P52" s="29"/>
      <c r="Q52" s="54"/>
      <c r="R52" s="74"/>
      <c r="S52" s="74"/>
      <c r="T52" s="74"/>
      <c r="U52" s="74"/>
      <c r="V52" s="74"/>
      <c r="W52" s="44"/>
      <c r="X52" s="45"/>
      <c r="Y52" s="44"/>
      <c r="Z52" s="44"/>
      <c r="AA52" s="44"/>
      <c r="AB52" s="44"/>
      <c r="AC52" s="44"/>
      <c r="AD52" s="44"/>
      <c r="AE52" s="44"/>
      <c r="AF52" s="44"/>
      <c r="AG52" s="44"/>
    </row>
    <row r="53" spans="2:33" s="33" customFormat="1" ht="76.5" x14ac:dyDescent="0.25">
      <c r="B53" s="35" t="str">
        <f>'[1]1 lentelė'!B52</f>
        <v>1.2.1.1.14</v>
      </c>
      <c r="C53" s="35" t="str">
        <f>'[1]1 lentelė'!C52</f>
        <v>R095511-120000-1225</v>
      </c>
      <c r="D53" s="35" t="str">
        <f>'[1]1 lentelė'!D52</f>
        <v>Saugaus eismo priemonių diegimas Žemaitės gatvėje Zarasų mieste</v>
      </c>
      <c r="E53" s="32" t="s">
        <v>716</v>
      </c>
      <c r="F53" s="32" t="s">
        <v>717</v>
      </c>
      <c r="G53" s="32">
        <v>1</v>
      </c>
      <c r="H53" s="32"/>
      <c r="I53" s="32"/>
      <c r="J53" s="32"/>
      <c r="K53" s="32"/>
      <c r="L53" s="32"/>
      <c r="M53" s="32"/>
      <c r="N53" s="32"/>
      <c r="O53" s="32"/>
      <c r="P53" s="32"/>
      <c r="Q53" s="75"/>
      <c r="R53" s="75"/>
      <c r="S53" s="75"/>
      <c r="T53" s="75"/>
      <c r="U53" s="75"/>
      <c r="V53" s="75"/>
      <c r="X53" s="47"/>
      <c r="Y53" s="46"/>
      <c r="Z53" s="46"/>
      <c r="AA53" s="46"/>
      <c r="AB53" s="46"/>
      <c r="AC53" s="46"/>
      <c r="AD53" s="46"/>
      <c r="AE53" s="46"/>
      <c r="AF53" s="46"/>
      <c r="AG53" s="46"/>
    </row>
    <row r="54" spans="2:33" ht="102" x14ac:dyDescent="0.25">
      <c r="B54" s="48" t="str">
        <f>'[1]1 lentelė'!B53</f>
        <v xml:space="preserve">1.2.2 </v>
      </c>
      <c r="C54" s="48"/>
      <c r="D54" s="48" t="str">
        <f>'[1]1 lentelė'!D53</f>
        <v>Uždavinys: Plėtoti  aplinką tausojančią ir eismo saugą didinančią infrastruktūrą ir priemones bei darnų judumą</v>
      </c>
      <c r="E54" s="48"/>
      <c r="F54" s="48"/>
      <c r="G54" s="49"/>
      <c r="H54" s="48"/>
      <c r="I54" s="48"/>
      <c r="J54" s="49"/>
      <c r="K54" s="48"/>
      <c r="L54" s="48"/>
      <c r="M54" s="49"/>
      <c r="N54" s="48"/>
      <c r="O54" s="48"/>
      <c r="P54" s="49"/>
      <c r="Q54" s="48"/>
      <c r="R54" s="48"/>
      <c r="S54" s="49"/>
      <c r="T54" s="48"/>
      <c r="U54" s="48"/>
      <c r="V54" s="49"/>
      <c r="W54" s="44"/>
      <c r="X54" s="45"/>
      <c r="Y54" s="44"/>
      <c r="Z54" s="44"/>
      <c r="AA54" s="44"/>
      <c r="AB54" s="44"/>
      <c r="AC54" s="44"/>
      <c r="AD54" s="44"/>
      <c r="AE54" s="44"/>
      <c r="AF54" s="44"/>
      <c r="AG54" s="44"/>
    </row>
    <row r="55" spans="2:33" ht="67.5" x14ac:dyDescent="0.25">
      <c r="B55" s="50" t="str">
        <f>'[1]1 lentelė'!B54</f>
        <v>1.2.2.1</v>
      </c>
      <c r="C55" s="50"/>
      <c r="D55" s="90" t="str">
        <f>'[1]1 lentelė'!D54</f>
        <v>Priemonė: Pėsčiųjų ir dviračių takų rekonstrukcija ir plėtra</v>
      </c>
      <c r="E55" s="50"/>
      <c r="F55" s="50"/>
      <c r="G55" s="50"/>
      <c r="H55" s="50"/>
      <c r="I55" s="50"/>
      <c r="J55" s="50"/>
      <c r="K55" s="50"/>
      <c r="L55" s="50"/>
      <c r="M55" s="50"/>
      <c r="N55" s="50"/>
      <c r="O55" s="50"/>
      <c r="P55" s="50"/>
      <c r="Q55" s="50"/>
      <c r="R55" s="50"/>
      <c r="S55" s="50"/>
      <c r="T55" s="50"/>
      <c r="U55" s="50"/>
      <c r="V55" s="50"/>
      <c r="W55" s="44"/>
      <c r="X55" s="45"/>
      <c r="Y55" s="44"/>
      <c r="Z55" s="44"/>
      <c r="AA55" s="44"/>
      <c r="AB55" s="44"/>
      <c r="AC55" s="44"/>
      <c r="AD55" s="44"/>
      <c r="AE55" s="44"/>
      <c r="AF55" s="44"/>
      <c r="AG55" s="44"/>
    </row>
    <row r="56" spans="2:33" ht="20.25" customHeight="1" x14ac:dyDescent="0.25">
      <c r="B56" s="226"/>
      <c r="C56" s="226"/>
      <c r="D56" s="226"/>
      <c r="E56" s="226"/>
      <c r="F56" s="226"/>
      <c r="G56" s="226"/>
      <c r="H56" s="29"/>
      <c r="I56" s="29"/>
      <c r="J56" s="29"/>
      <c r="K56" s="29"/>
      <c r="L56" s="29"/>
      <c r="M56" s="29"/>
      <c r="N56" s="29"/>
      <c r="O56" s="29"/>
      <c r="P56" s="29"/>
      <c r="Q56" s="54"/>
      <c r="R56" s="74"/>
      <c r="S56" s="74"/>
      <c r="T56" s="74"/>
      <c r="U56" s="74"/>
      <c r="V56" s="74"/>
      <c r="W56" s="44"/>
      <c r="X56" s="45"/>
      <c r="Y56" s="44"/>
      <c r="Z56" s="44"/>
      <c r="AA56" s="44"/>
      <c r="AB56" s="44"/>
      <c r="AC56" s="44"/>
      <c r="AD56" s="44"/>
      <c r="AE56" s="44"/>
      <c r="AF56" s="44"/>
      <c r="AG56" s="44"/>
    </row>
    <row r="57" spans="2:33" ht="142.5" customHeight="1" x14ac:dyDescent="0.25">
      <c r="B57" s="35" t="str">
        <f>'[1]1 lentelė'!B56</f>
        <v>1.2.2.1.3</v>
      </c>
      <c r="C57" s="35" t="str">
        <f>'[1]1 lentelė'!C56</f>
        <v>R095516-190000-1210</v>
      </c>
      <c r="D57" s="35" t="str">
        <f>'[1]1 lentelė'!D56</f>
        <v>Dviračių ir pėsčiųjų takų tinklo palei Ąžuolų g. iki mokyklų komplekso plėtra didinant atskirų Molėtų miesto teritorijų tarpusavio integraciją</v>
      </c>
      <c r="E57" s="32" t="s">
        <v>710</v>
      </c>
      <c r="F57" s="32" t="s">
        <v>1403</v>
      </c>
      <c r="G57" s="32">
        <v>0.18</v>
      </c>
      <c r="H57" s="32" t="s">
        <v>711</v>
      </c>
      <c r="I57" s="32" t="s">
        <v>724</v>
      </c>
      <c r="J57" s="53">
        <v>0.81</v>
      </c>
      <c r="K57" s="29"/>
      <c r="L57" s="29"/>
      <c r="M57" s="29"/>
      <c r="N57" s="29"/>
      <c r="O57" s="29"/>
      <c r="P57" s="29"/>
      <c r="Q57" s="54"/>
      <c r="R57" s="74"/>
      <c r="S57" s="74"/>
      <c r="T57" s="74"/>
      <c r="U57" s="74"/>
      <c r="V57" s="74"/>
      <c r="W57" s="44"/>
      <c r="X57" s="45"/>
      <c r="Y57" s="44"/>
      <c r="Z57" s="44"/>
      <c r="AA57" s="44"/>
      <c r="AB57" s="44"/>
      <c r="AC57" s="44"/>
      <c r="AD57" s="44"/>
      <c r="AE57" s="44"/>
      <c r="AF57" s="44"/>
      <c r="AG57" s="44"/>
    </row>
    <row r="58" spans="2:33" ht="106.5" customHeight="1" x14ac:dyDescent="0.25">
      <c r="B58" s="35" t="str">
        <f>'[1]1 lentelė'!B57</f>
        <v>1.2.2.1.4</v>
      </c>
      <c r="C58" s="35" t="str">
        <f>'[1]1 lentelė'!C57</f>
        <v>R095516-190000-1211</v>
      </c>
      <c r="D58" s="35" t="str">
        <f>'[1]1 lentelė'!D57</f>
        <v>Dviračių ir pėsčiųjų takų infrastruktūros Utenos mieste plėtra, siekiant pagerinti Pramonės rajono pasiekiamumą.</v>
      </c>
      <c r="E58" s="32" t="s">
        <v>711</v>
      </c>
      <c r="F58" s="32" t="s">
        <v>1404</v>
      </c>
      <c r="G58" s="53">
        <v>0.85</v>
      </c>
      <c r="H58" s="29"/>
      <c r="I58" s="29"/>
      <c r="J58" s="29"/>
      <c r="K58" s="29"/>
      <c r="L58" s="29"/>
      <c r="M58" s="29"/>
      <c r="N58" s="29"/>
      <c r="O58" s="29"/>
      <c r="P58" s="29"/>
      <c r="Q58" s="54"/>
      <c r="R58" s="74"/>
      <c r="S58" s="74"/>
      <c r="T58" s="74"/>
      <c r="U58" s="74"/>
      <c r="V58" s="74"/>
      <c r="W58" s="44"/>
      <c r="X58" s="45"/>
      <c r="Y58" s="44"/>
      <c r="Z58" s="44"/>
      <c r="AA58" s="44"/>
      <c r="AB58" s="44"/>
      <c r="AC58" s="44"/>
      <c r="AD58" s="44"/>
      <c r="AE58" s="44"/>
      <c r="AF58" s="44"/>
      <c r="AG58" s="44"/>
    </row>
    <row r="59" spans="2:33" ht="90.75" customHeight="1" x14ac:dyDescent="0.25">
      <c r="B59" s="35" t="str">
        <f>'[1]1 lentelė'!B58</f>
        <v xml:space="preserve">1.2.2.1.5 </v>
      </c>
      <c r="C59" s="35" t="str">
        <f>'[1]1 lentelė'!C58</f>
        <v>R095516-190000-1212</v>
      </c>
      <c r="D59" s="35" t="str">
        <f>'[1]1 lentelė'!D58</f>
        <v xml:space="preserve">Pėsčiųjų ir dviračių takų plėtra Griežto ežero pakrantėje nuo Vytauto gatvės iki Griežto gatvės </v>
      </c>
      <c r="E59" s="29" t="s">
        <v>710</v>
      </c>
      <c r="F59" s="29" t="s">
        <v>723</v>
      </c>
      <c r="G59" s="32">
        <v>0.55000000000000004</v>
      </c>
      <c r="H59" s="29"/>
      <c r="I59" s="29"/>
      <c r="J59" s="29"/>
      <c r="K59" s="29"/>
      <c r="L59" s="29"/>
      <c r="M59" s="29"/>
      <c r="N59" s="29"/>
      <c r="O59" s="29"/>
      <c r="P59" s="29"/>
      <c r="Q59" s="54"/>
      <c r="R59" s="74"/>
      <c r="S59" s="74"/>
      <c r="T59" s="74"/>
      <c r="U59" s="74"/>
      <c r="V59" s="74"/>
      <c r="W59" s="44"/>
      <c r="X59" s="45"/>
      <c r="Y59" s="44"/>
      <c r="Z59" s="44"/>
      <c r="AA59" s="44"/>
      <c r="AB59" s="44"/>
      <c r="AC59" s="44"/>
      <c r="AD59" s="44"/>
      <c r="AE59" s="44"/>
      <c r="AF59" s="44"/>
      <c r="AG59" s="44"/>
    </row>
    <row r="60" spans="2:33" s="227" customFormat="1" ht="90.75" customHeight="1" x14ac:dyDescent="0.25">
      <c r="B60" s="35" t="str">
        <f>'[1]1 lentelė'!B59</f>
        <v>1.2.2.1.6</v>
      </c>
      <c r="C60" s="35" t="str">
        <f>'[1]1 lentelė'!C59</f>
        <v>R095516-190000-1213</v>
      </c>
      <c r="D60" s="35" t="str">
        <f>'[1]1 lentelė'!D59</f>
        <v xml:space="preserve">Pėsčiųjų takų tinklo plėtra Dusetose, Zarasų rajone </v>
      </c>
      <c r="E60" s="32" t="s">
        <v>711</v>
      </c>
      <c r="F60" s="32" t="s">
        <v>1405</v>
      </c>
      <c r="G60" s="32">
        <v>0.2</v>
      </c>
      <c r="H60" s="32"/>
      <c r="I60" s="61"/>
      <c r="J60" s="61"/>
      <c r="K60" s="61"/>
      <c r="L60" s="61"/>
      <c r="M60" s="61"/>
      <c r="N60" s="61"/>
      <c r="O60" s="61"/>
      <c r="P60" s="61"/>
      <c r="Q60" s="144"/>
      <c r="R60" s="144"/>
      <c r="S60" s="144"/>
      <c r="T60" s="144"/>
      <c r="U60" s="144"/>
      <c r="V60" s="144"/>
      <c r="X60" s="45"/>
      <c r="Y60" s="44"/>
      <c r="Z60" s="44"/>
      <c r="AA60" s="44"/>
      <c r="AB60" s="44"/>
      <c r="AC60" s="44"/>
      <c r="AD60" s="44"/>
      <c r="AE60" s="44"/>
      <c r="AF60" s="44"/>
      <c r="AG60" s="44"/>
    </row>
    <row r="61" spans="2:33" s="227" customFormat="1" ht="104.25" customHeight="1" x14ac:dyDescent="0.25">
      <c r="B61" s="35" t="str">
        <f>'[1]1 lentelė'!B60</f>
        <v>1.2.2.1.7</v>
      </c>
      <c r="C61" s="35" t="str">
        <f>'[1]1 lentelė'!C60</f>
        <v>R095516-190000-1214</v>
      </c>
      <c r="D61" s="35" t="str">
        <f>'[1]1 lentelė'!D60</f>
        <v>Susisiekimo sąlygų gerinimas Molėtų mieste įrengiant pėsčiųjų takus tarp Ąžuolų ir Melioratorių gatvių</v>
      </c>
      <c r="E61" s="32" t="s">
        <v>710</v>
      </c>
      <c r="F61" s="32" t="s">
        <v>723</v>
      </c>
      <c r="G61" s="32">
        <v>0.54</v>
      </c>
      <c r="H61" s="32"/>
      <c r="I61" s="61"/>
      <c r="J61" s="61"/>
      <c r="K61" s="61"/>
      <c r="L61" s="61"/>
      <c r="M61" s="61"/>
      <c r="N61" s="61"/>
      <c r="O61" s="61"/>
      <c r="P61" s="61"/>
      <c r="Q61" s="144"/>
      <c r="R61" s="144"/>
      <c r="S61" s="144"/>
      <c r="T61" s="144"/>
      <c r="U61" s="144"/>
      <c r="V61" s="144"/>
      <c r="X61" s="45"/>
      <c r="Y61" s="44"/>
      <c r="Z61" s="44"/>
      <c r="AA61" s="44"/>
      <c r="AB61" s="44"/>
      <c r="AC61" s="44"/>
      <c r="AD61" s="44"/>
      <c r="AE61" s="44"/>
      <c r="AF61" s="44"/>
      <c r="AG61" s="44"/>
    </row>
    <row r="62" spans="2:33" ht="51" x14ac:dyDescent="0.25">
      <c r="B62" s="50" t="str">
        <f>'[1]1 lentelė'!B61</f>
        <v>1.2.2.2</v>
      </c>
      <c r="C62" s="50"/>
      <c r="D62" s="50" t="str">
        <f>'[1]1 lentelė'!D61</f>
        <v>Priemonė: Darnaus judumo priemonių diegimas</v>
      </c>
      <c r="E62" s="50"/>
      <c r="F62" s="50"/>
      <c r="G62" s="50"/>
      <c r="H62" s="50"/>
      <c r="I62" s="50"/>
      <c r="J62" s="50"/>
      <c r="K62" s="50"/>
      <c r="L62" s="50"/>
      <c r="M62" s="50"/>
      <c r="N62" s="50"/>
      <c r="O62" s="50"/>
      <c r="P62" s="50"/>
      <c r="Q62" s="50"/>
      <c r="R62" s="50"/>
      <c r="S62" s="50"/>
      <c r="T62" s="50"/>
      <c r="U62" s="50"/>
      <c r="V62" s="50"/>
      <c r="W62" s="44"/>
      <c r="X62" s="45"/>
      <c r="Y62" s="44"/>
      <c r="Z62" s="44"/>
      <c r="AA62" s="44"/>
      <c r="AB62" s="44"/>
      <c r="AC62" s="44"/>
      <c r="AD62" s="44"/>
      <c r="AE62" s="44"/>
      <c r="AF62" s="44"/>
      <c r="AG62" s="44"/>
    </row>
    <row r="63" spans="2:33" x14ac:dyDescent="0.25">
      <c r="B63" s="35"/>
      <c r="C63" s="35"/>
      <c r="D63" s="35"/>
      <c r="E63" s="56"/>
      <c r="F63" s="56"/>
      <c r="G63" s="56"/>
      <c r="H63" s="56"/>
      <c r="I63" s="56"/>
      <c r="J63" s="29"/>
      <c r="K63" s="56"/>
      <c r="L63" s="56"/>
      <c r="M63" s="56"/>
      <c r="N63" s="56"/>
      <c r="O63" s="56"/>
      <c r="P63" s="29"/>
      <c r="Q63" s="54"/>
      <c r="R63" s="74"/>
      <c r="S63" s="74"/>
      <c r="T63" s="74"/>
      <c r="U63" s="74"/>
      <c r="V63" s="74"/>
      <c r="W63" s="44"/>
      <c r="X63" s="45"/>
      <c r="Y63" s="44"/>
      <c r="Z63" s="44"/>
      <c r="AA63" s="44"/>
      <c r="AB63" s="44"/>
      <c r="AC63" s="44"/>
      <c r="AD63" s="44"/>
      <c r="AE63" s="44"/>
      <c r="AF63" s="44"/>
      <c r="AG63" s="44"/>
    </row>
    <row r="64" spans="2:33" ht="54.75" customHeight="1" x14ac:dyDescent="0.25">
      <c r="B64" s="35" t="str">
        <f>'[1]1 lentelė'!B63</f>
        <v>1.2.2.2.2</v>
      </c>
      <c r="C64" s="35" t="str">
        <f>'[1]1 lentelė'!C63</f>
        <v>R095513-500000-1214</v>
      </c>
      <c r="D64" s="35" t="str">
        <f>'[1]1 lentelė'!D63</f>
        <v xml:space="preserve">Visagino miesto darnaus judumo plano parengimas </v>
      </c>
      <c r="E64" s="57" t="s">
        <v>702</v>
      </c>
      <c r="F64" s="57" t="s">
        <v>726</v>
      </c>
      <c r="G64" s="57">
        <v>1</v>
      </c>
      <c r="H64" s="58"/>
      <c r="I64" s="58"/>
      <c r="J64" s="32"/>
      <c r="K64" s="58"/>
      <c r="L64" s="58"/>
      <c r="M64" s="58"/>
      <c r="N64" s="58"/>
      <c r="O64" s="58"/>
      <c r="P64" s="32"/>
      <c r="Q64" s="54"/>
      <c r="R64" s="74"/>
      <c r="S64" s="74"/>
      <c r="T64" s="74"/>
      <c r="U64" s="74"/>
      <c r="V64" s="74"/>
      <c r="W64" s="44"/>
      <c r="X64" s="45"/>
      <c r="Y64" s="44"/>
      <c r="Z64" s="44"/>
      <c r="AA64" s="44"/>
      <c r="AB64" s="44"/>
      <c r="AC64" s="44"/>
      <c r="AD64" s="44"/>
      <c r="AE64" s="44"/>
      <c r="AF64" s="44"/>
      <c r="AG64" s="44"/>
    </row>
    <row r="65" spans="2:33" ht="57" customHeight="1" x14ac:dyDescent="0.25">
      <c r="B65" s="35" t="str">
        <f>'[1]1 lentelė'!B64</f>
        <v>1.2.2.2.3</v>
      </c>
      <c r="C65" s="35" t="str">
        <f>'[1]1 lentelė'!C64</f>
        <v>R095514-190000-1215</v>
      </c>
      <c r="D65" s="35" t="str">
        <f>'[1]1 lentelė'!D64</f>
        <v>Darnaus judumo infrastruktūros įrengimas Visagino mieste</v>
      </c>
      <c r="E65" s="32" t="s">
        <v>712</v>
      </c>
      <c r="F65" s="32" t="s">
        <v>727</v>
      </c>
      <c r="G65" s="32">
        <v>1</v>
      </c>
      <c r="H65" s="32"/>
      <c r="I65" s="58"/>
      <c r="J65" s="32"/>
      <c r="K65" s="58"/>
      <c r="L65" s="58"/>
      <c r="M65" s="58"/>
      <c r="N65" s="58"/>
      <c r="O65" s="58"/>
      <c r="P65" s="32"/>
      <c r="Q65" s="54"/>
      <c r="R65" s="74"/>
      <c r="S65" s="74"/>
      <c r="T65" s="74"/>
      <c r="U65" s="74"/>
      <c r="V65" s="74"/>
      <c r="W65" s="44"/>
      <c r="X65" s="342"/>
      <c r="Y65" s="44"/>
      <c r="Z65" s="44"/>
      <c r="AA65" s="44"/>
      <c r="AB65" s="44"/>
      <c r="AC65" s="44"/>
      <c r="AD65" s="44"/>
      <c r="AE65" s="44"/>
      <c r="AF65" s="44"/>
      <c r="AG65" s="44"/>
    </row>
    <row r="66" spans="2:33" ht="52.5" customHeight="1" x14ac:dyDescent="0.25">
      <c r="B66" s="35" t="str">
        <f>'[1]1 lentelė'!B65</f>
        <v>1.2.2.2.4</v>
      </c>
      <c r="C66" s="35" t="str">
        <f>'[1]1 lentelė'!C65</f>
        <v>R095513-500000-1216</v>
      </c>
      <c r="D66" s="35" t="str">
        <f>'[1]1 lentelė'!D65</f>
        <v>Darnaus judumo Utenos mieste plano rengimas</v>
      </c>
      <c r="E66" s="32" t="s">
        <v>702</v>
      </c>
      <c r="F66" s="32" t="s">
        <v>726</v>
      </c>
      <c r="G66" s="32">
        <v>1</v>
      </c>
      <c r="H66" s="32"/>
      <c r="I66" s="58"/>
      <c r="J66" s="32"/>
      <c r="K66" s="58"/>
      <c r="L66" s="58"/>
      <c r="M66" s="58"/>
      <c r="N66" s="58"/>
      <c r="O66" s="58"/>
      <c r="P66" s="32"/>
      <c r="Q66" s="54"/>
      <c r="R66" s="74"/>
      <c r="S66" s="74"/>
      <c r="T66" s="74"/>
      <c r="U66" s="74"/>
      <c r="V66" s="74"/>
      <c r="W66" s="44"/>
      <c r="X66" s="45"/>
      <c r="Y66" s="44"/>
      <c r="Z66" s="44"/>
      <c r="AA66" s="44"/>
      <c r="AB66" s="44"/>
      <c r="AC66" s="44"/>
      <c r="AD66" s="44"/>
      <c r="AE66" s="44"/>
      <c r="AF66" s="44"/>
      <c r="AG66" s="44"/>
    </row>
    <row r="67" spans="2:33" ht="67.5" customHeight="1" x14ac:dyDescent="0.25">
      <c r="B67" s="35" t="s">
        <v>258</v>
      </c>
      <c r="C67" s="35" t="s">
        <v>1208</v>
      </c>
      <c r="D67" s="35" t="s">
        <v>1209</v>
      </c>
      <c r="E67" s="32" t="s">
        <v>712</v>
      </c>
      <c r="F67" s="32" t="s">
        <v>727</v>
      </c>
      <c r="G67" s="32">
        <v>1</v>
      </c>
      <c r="H67" s="32"/>
      <c r="I67" s="58"/>
      <c r="J67" s="32"/>
      <c r="K67" s="58"/>
      <c r="L67" s="58"/>
      <c r="M67" s="58"/>
      <c r="N67" s="58"/>
      <c r="O67" s="58"/>
      <c r="P67" s="32"/>
      <c r="Q67" s="75"/>
      <c r="R67" s="76"/>
      <c r="S67" s="76"/>
      <c r="T67" s="76"/>
      <c r="U67" s="76"/>
      <c r="V67" s="76"/>
      <c r="W67" s="46"/>
      <c r="X67" s="47"/>
      <c r="Y67" s="46"/>
      <c r="Z67" s="44"/>
      <c r="AA67" s="44"/>
      <c r="AB67" s="44"/>
      <c r="AC67" s="44"/>
      <c r="AD67" s="44"/>
      <c r="AE67" s="44"/>
      <c r="AF67" s="44"/>
      <c r="AG67" s="44"/>
    </row>
    <row r="68" spans="2:33" ht="109.5" customHeight="1" x14ac:dyDescent="0.25">
      <c r="B68" s="60" t="str">
        <f>'[1]1 lentelė'!B67</f>
        <v>1.2.2.3</v>
      </c>
      <c r="C68" s="60"/>
      <c r="D68" s="91" t="str">
        <f>'[1]1 lentelė'!D67</f>
        <v>Priemonė: Vietinio susisiekimo viešojo transporto priemonių parko atnaujinimas</v>
      </c>
      <c r="E68" s="60"/>
      <c r="F68" s="60"/>
      <c r="G68" s="60"/>
      <c r="H68" s="60"/>
      <c r="I68" s="60"/>
      <c r="J68" s="50"/>
      <c r="K68" s="60"/>
      <c r="L68" s="60"/>
      <c r="M68" s="60"/>
      <c r="N68" s="60"/>
      <c r="O68" s="60"/>
      <c r="P68" s="50"/>
      <c r="Q68" s="60"/>
      <c r="R68" s="60"/>
      <c r="S68" s="60"/>
      <c r="T68" s="60"/>
      <c r="U68" s="60"/>
      <c r="V68" s="50"/>
      <c r="W68" s="44"/>
      <c r="X68" s="45"/>
      <c r="Y68" s="44"/>
      <c r="Z68" s="44"/>
      <c r="AA68" s="44"/>
      <c r="AB68" s="44"/>
      <c r="AC68" s="44"/>
      <c r="AD68" s="44"/>
      <c r="AE68" s="44"/>
      <c r="AF68" s="44"/>
      <c r="AG68" s="44"/>
    </row>
    <row r="69" spans="2:33" ht="93" customHeight="1" x14ac:dyDescent="0.25">
      <c r="B69" s="35" t="str">
        <f>'[1]1 lentelė'!B69</f>
        <v>1.2.2.3.3</v>
      </c>
      <c r="C69" s="35" t="str">
        <f>'[1]1 lentelė'!C69</f>
        <v>R095518-100000-1219</v>
      </c>
      <c r="D69" s="35" t="str">
        <f>'[1]1 lentelė'!D69</f>
        <v>Utenos rajono vietinio susisiekimo viešojo transporto priemonių parko atnaujinimas</v>
      </c>
      <c r="E69" s="58" t="s">
        <v>714</v>
      </c>
      <c r="F69" s="58" t="s">
        <v>730</v>
      </c>
      <c r="G69" s="58">
        <v>4</v>
      </c>
      <c r="H69" s="58"/>
      <c r="I69" s="58"/>
      <c r="J69" s="32"/>
      <c r="K69" s="58"/>
      <c r="L69" s="58"/>
      <c r="M69" s="58"/>
      <c r="N69" s="58"/>
      <c r="O69" s="58"/>
      <c r="P69" s="32"/>
      <c r="Q69" s="75"/>
      <c r="R69" s="76"/>
      <c r="S69" s="76"/>
      <c r="T69" s="76"/>
      <c r="U69" s="76"/>
      <c r="V69" s="76"/>
      <c r="W69" s="46"/>
      <c r="X69" s="47"/>
      <c r="Y69" s="46"/>
      <c r="Z69" s="44"/>
      <c r="AA69" s="44"/>
      <c r="AB69" s="44"/>
      <c r="AC69" s="44"/>
      <c r="AD69" s="44"/>
      <c r="AE69" s="44"/>
      <c r="AF69" s="44"/>
      <c r="AG69" s="44"/>
    </row>
    <row r="70" spans="2:33" ht="42" customHeight="1" x14ac:dyDescent="0.25">
      <c r="B70" s="92" t="str">
        <f>'[1]1 lentelė'!B70</f>
        <v>2.</v>
      </c>
      <c r="C70" s="92"/>
      <c r="D70" s="92" t="str">
        <f>'[1]1 lentelė'!D70</f>
        <v>Prioritetas: Integrali ekonomika</v>
      </c>
      <c r="E70" s="64"/>
      <c r="F70" s="64"/>
      <c r="G70" s="64"/>
      <c r="H70" s="64"/>
      <c r="I70" s="64"/>
      <c r="J70" s="65"/>
      <c r="K70" s="64"/>
      <c r="L70" s="64"/>
      <c r="M70" s="64"/>
      <c r="N70" s="64"/>
      <c r="O70" s="64"/>
      <c r="P70" s="65"/>
      <c r="Q70" s="64"/>
      <c r="R70" s="64"/>
      <c r="S70" s="64"/>
      <c r="T70" s="64"/>
      <c r="U70" s="64"/>
      <c r="V70" s="65"/>
      <c r="W70" s="44"/>
      <c r="X70" s="45"/>
      <c r="Y70" s="44"/>
      <c r="Z70" s="44"/>
      <c r="AA70" s="44"/>
      <c r="AB70" s="44"/>
      <c r="AC70" s="44"/>
      <c r="AD70" s="44"/>
      <c r="AE70" s="44"/>
      <c r="AF70" s="44"/>
      <c r="AG70" s="44"/>
    </row>
    <row r="71" spans="2:33" ht="76.5" customHeight="1" x14ac:dyDescent="0.25">
      <c r="B71" s="67" t="str">
        <f>'[1]1 lentelė'!B71</f>
        <v xml:space="preserve">2.1 </v>
      </c>
      <c r="C71" s="67"/>
      <c r="D71" s="67" t="str">
        <f>'[1]1 lentelė'!D71</f>
        <v>Tikslas: Turizmo infrastruktūros, kultūros ir gamtos paveldo plėtra</v>
      </c>
      <c r="E71" s="67"/>
      <c r="F71" s="343"/>
      <c r="G71" s="67"/>
      <c r="H71" s="67"/>
      <c r="I71" s="343"/>
      <c r="J71" s="52"/>
      <c r="K71" s="343"/>
      <c r="L71" s="67"/>
      <c r="M71" s="67"/>
      <c r="N71" s="343"/>
      <c r="O71" s="67"/>
      <c r="P71" s="51"/>
      <c r="Q71" s="343"/>
      <c r="R71" s="67"/>
      <c r="S71" s="67"/>
      <c r="T71" s="343"/>
      <c r="U71" s="67"/>
      <c r="V71" s="51"/>
      <c r="W71" s="44"/>
      <c r="X71" s="44"/>
      <c r="Y71" s="44"/>
      <c r="Z71" s="44"/>
      <c r="AA71" s="44"/>
      <c r="AB71" s="44"/>
      <c r="AC71" s="44"/>
      <c r="AD71" s="44"/>
      <c r="AE71" s="44"/>
      <c r="AF71" s="44"/>
      <c r="AG71" s="44"/>
    </row>
    <row r="72" spans="2:33" ht="66.75" customHeight="1" x14ac:dyDescent="0.25">
      <c r="B72" s="70" t="str">
        <f>'[1]1 lentelė'!B72</f>
        <v xml:space="preserve">2.1.1 </v>
      </c>
      <c r="C72" s="70"/>
      <c r="D72" s="70" t="str">
        <f>'[1]1 lentelė'!D72</f>
        <v>Uždavinys: Sutvarkyti ir aktualizuoti kultūros paveldo plėtrą</v>
      </c>
      <c r="E72" s="70"/>
      <c r="F72" s="71"/>
      <c r="G72" s="71"/>
      <c r="H72" s="70"/>
      <c r="I72" s="70"/>
      <c r="J72" s="49"/>
      <c r="K72" s="71"/>
      <c r="L72" s="70"/>
      <c r="M72" s="70"/>
      <c r="N72" s="71"/>
      <c r="O72" s="71"/>
      <c r="P72" s="48"/>
      <c r="Q72" s="71"/>
      <c r="R72" s="70"/>
      <c r="S72" s="70"/>
      <c r="T72" s="71"/>
      <c r="U72" s="71"/>
      <c r="V72" s="48"/>
      <c r="W72" s="44"/>
      <c r="X72" s="44"/>
      <c r="Y72" s="44"/>
      <c r="Z72" s="44"/>
      <c r="AA72" s="44"/>
      <c r="AB72" s="44"/>
      <c r="AC72" s="44"/>
      <c r="AD72" s="44"/>
      <c r="AE72" s="44"/>
      <c r="AF72" s="44"/>
      <c r="AG72" s="44"/>
    </row>
    <row r="73" spans="2:33" ht="81" customHeight="1" x14ac:dyDescent="0.25">
      <c r="B73" s="60" t="str">
        <f>'[1]1 lentelė'!B73</f>
        <v>2.1.1.1</v>
      </c>
      <c r="C73" s="60"/>
      <c r="D73" s="91" t="str">
        <f>'[1]1 lentelė'!D73</f>
        <v>Priemonė: Aktualizuoti savivaldybių kultūros paveldo objektus</v>
      </c>
      <c r="E73" s="60"/>
      <c r="F73" s="60"/>
      <c r="G73" s="60"/>
      <c r="H73" s="60"/>
      <c r="I73" s="60"/>
      <c r="J73" s="50"/>
      <c r="K73" s="60"/>
      <c r="L73" s="60"/>
      <c r="M73" s="60"/>
      <c r="N73" s="60"/>
      <c r="O73" s="60"/>
      <c r="P73" s="50"/>
      <c r="Q73" s="60"/>
      <c r="R73" s="60"/>
      <c r="S73" s="60"/>
      <c r="T73" s="60"/>
      <c r="U73" s="60"/>
      <c r="V73" s="50"/>
      <c r="W73" s="44"/>
      <c r="X73" s="44"/>
      <c r="Y73" s="44"/>
      <c r="Z73" s="44"/>
      <c r="AA73" s="44"/>
      <c r="AB73" s="44"/>
      <c r="AC73" s="44"/>
      <c r="AD73" s="44"/>
      <c r="AE73" s="44"/>
      <c r="AF73" s="44"/>
      <c r="AG73" s="44"/>
    </row>
    <row r="74" spans="2:33" ht="153" x14ac:dyDescent="0.25">
      <c r="B74" s="35" t="str">
        <f>'[1]1 lentelė'!B74</f>
        <v>2.1.1.1.1</v>
      </c>
      <c r="C74" s="35" t="str">
        <f>'[1]1 lentelė'!C74</f>
        <v>R093302-442942-2101</v>
      </c>
      <c r="D74" s="35" t="str">
        <f>'[1]1 lentelė'!D74</f>
        <v xml:space="preserve">Kompleksinis Okuličiūtės dvarelio Anykščiuose sutvarkymas ir pritaikymas kultūrinei, meninei veiklai </v>
      </c>
      <c r="E74" s="58" t="s">
        <v>721</v>
      </c>
      <c r="F74" s="58" t="s">
        <v>731</v>
      </c>
      <c r="G74" s="58">
        <v>1</v>
      </c>
      <c r="H74" s="58" t="s">
        <v>692</v>
      </c>
      <c r="I74" s="58" t="s">
        <v>732</v>
      </c>
      <c r="J74" s="32">
        <v>1400</v>
      </c>
      <c r="K74" s="58"/>
      <c r="L74" s="58"/>
      <c r="M74" s="58"/>
      <c r="N74" s="58"/>
      <c r="O74" s="58"/>
      <c r="P74" s="32"/>
      <c r="Q74" s="54"/>
      <c r="R74" s="74"/>
      <c r="S74" s="74"/>
      <c r="T74" s="74"/>
      <c r="U74" s="74"/>
      <c r="V74" s="74"/>
      <c r="W74" s="44"/>
      <c r="X74" s="44"/>
      <c r="Y74" s="44"/>
      <c r="Z74" s="44"/>
      <c r="AA74" s="44"/>
      <c r="AB74" s="44"/>
      <c r="AC74" s="44"/>
      <c r="AD74" s="44"/>
      <c r="AE74" s="44"/>
      <c r="AF74" s="44"/>
      <c r="AG74" s="44"/>
    </row>
    <row r="75" spans="2:33" ht="153" x14ac:dyDescent="0.25">
      <c r="B75" s="35" t="str">
        <f>'[1]1 lentelė'!B75</f>
        <v xml:space="preserve">2.1.1.1.2 </v>
      </c>
      <c r="C75" s="35" t="str">
        <f>'[1]1 lentelė'!C75</f>
        <v>R093302-440000-2102</v>
      </c>
      <c r="D75" s="35" t="str">
        <f>'[1]1 lentelė'!D75</f>
        <v xml:space="preserve">Naujų kultūros paslaugų visuomenės kultūriniams poreikiams tenkinti sukūrimas Utenos meno mokykloje </v>
      </c>
      <c r="E75" s="58" t="s">
        <v>721</v>
      </c>
      <c r="F75" s="58" t="s">
        <v>731</v>
      </c>
      <c r="G75" s="58">
        <v>1</v>
      </c>
      <c r="H75" s="58" t="s">
        <v>692</v>
      </c>
      <c r="I75" s="58" t="s">
        <v>732</v>
      </c>
      <c r="J75" s="58">
        <v>2800</v>
      </c>
      <c r="K75" s="58"/>
      <c r="L75" s="58"/>
      <c r="M75" s="58"/>
      <c r="N75" s="58"/>
      <c r="O75" s="58"/>
      <c r="P75" s="32"/>
      <c r="Q75" s="54"/>
      <c r="R75" s="74"/>
      <c r="S75" s="74"/>
      <c r="T75" s="74"/>
      <c r="U75" s="74"/>
      <c r="V75" s="74"/>
      <c r="W75" s="44"/>
      <c r="X75" s="44"/>
      <c r="Y75" s="44"/>
      <c r="Z75" s="44"/>
      <c r="AA75" s="44"/>
      <c r="AB75" s="44"/>
      <c r="AC75" s="44"/>
      <c r="AD75" s="44"/>
      <c r="AE75" s="44"/>
      <c r="AF75" s="44"/>
      <c r="AG75" s="44"/>
    </row>
    <row r="76" spans="2:33" ht="210" customHeight="1" x14ac:dyDescent="0.25">
      <c r="B76" s="35" t="str">
        <f>'[1]1 lentelė'!B76</f>
        <v>2.1.1.1.3</v>
      </c>
      <c r="C76" s="35" t="str">
        <f>'[1]1 lentelė'!C76</f>
        <v>R093302-440000-2103</v>
      </c>
      <c r="D76" s="35" t="str">
        <f>'[1]1 lentelė'!D76</f>
        <v>Atgailos kanauninkų vienuolyno ansamblio (u.k. 987) vienuolyno namo (u.k. 25029) Videniškių km. kapitalinis remontas ir pritaikymas Videniškių vienuolyno amatų centro ir bendruomenės poreikiams poreikiams</v>
      </c>
      <c r="E76" s="58" t="s">
        <v>721</v>
      </c>
      <c r="F76" s="58" t="s">
        <v>1406</v>
      </c>
      <c r="G76" s="58">
        <v>1</v>
      </c>
      <c r="H76" s="58" t="s">
        <v>692</v>
      </c>
      <c r="I76" s="58" t="s">
        <v>1407</v>
      </c>
      <c r="J76" s="32">
        <v>600</v>
      </c>
      <c r="K76" s="58"/>
      <c r="L76" s="58"/>
      <c r="M76" s="58"/>
      <c r="N76" s="58"/>
      <c r="O76" s="58"/>
      <c r="P76" s="32"/>
      <c r="Q76" s="54"/>
      <c r="R76" s="74"/>
      <c r="S76" s="74"/>
      <c r="T76" s="74"/>
      <c r="U76" s="74"/>
      <c r="V76" s="74"/>
      <c r="W76" s="44"/>
      <c r="X76" s="44"/>
      <c r="Y76" s="44"/>
      <c r="Z76" s="44"/>
      <c r="AA76" s="44"/>
      <c r="AB76" s="44"/>
      <c r="AC76" s="44"/>
      <c r="AD76" s="44"/>
      <c r="AE76" s="44"/>
      <c r="AF76" s="44"/>
      <c r="AG76" s="44"/>
    </row>
    <row r="77" spans="2:33" ht="153" x14ac:dyDescent="0.25">
      <c r="B77" s="35" t="str">
        <f>'[1]1 lentelė'!B77</f>
        <v>2.1.1.1.4</v>
      </c>
      <c r="C77" s="35" t="str">
        <f>'[1]1 lentelė'!C77</f>
        <v>R093302-442942-2104</v>
      </c>
      <c r="D77" s="35" t="str">
        <f>'[1]1 lentelė'!D77</f>
        <v>Valstybės saugomo kultūros paveldo objekto – Antazavės dvaro aktualizavimas</v>
      </c>
      <c r="E77" s="58" t="s">
        <v>721</v>
      </c>
      <c r="F77" s="58" t="s">
        <v>731</v>
      </c>
      <c r="G77" s="58">
        <v>1</v>
      </c>
      <c r="H77" s="58" t="s">
        <v>692</v>
      </c>
      <c r="I77" s="58" t="s">
        <v>732</v>
      </c>
      <c r="J77" s="32">
        <v>2600</v>
      </c>
      <c r="K77" s="58"/>
      <c r="L77" s="58"/>
      <c r="M77" s="58"/>
      <c r="N77" s="58"/>
      <c r="O77" s="58"/>
      <c r="P77" s="32"/>
      <c r="Q77" s="54"/>
      <c r="R77" s="74"/>
      <c r="S77" s="74"/>
      <c r="T77" s="74"/>
      <c r="U77" s="74"/>
      <c r="V77" s="74"/>
      <c r="W77" s="44"/>
      <c r="X77" s="44"/>
      <c r="Y77" s="44"/>
      <c r="Z77" s="44"/>
      <c r="AA77" s="44"/>
      <c r="AB77" s="44"/>
      <c r="AC77" s="44"/>
      <c r="AD77" s="44"/>
      <c r="AE77" s="44"/>
      <c r="AF77" s="44"/>
      <c r="AG77" s="44"/>
    </row>
    <row r="78" spans="2:33" ht="66.75" customHeight="1" x14ac:dyDescent="0.25">
      <c r="B78" s="70" t="str">
        <f>'[1]1 lentelė'!B78</f>
        <v>2.1.2</v>
      </c>
      <c r="C78" s="70"/>
      <c r="D78" s="70" t="str">
        <f>'[1]1 lentelė'!D78</f>
        <v>Uždavinys: Plėtoti turizmo išteklių ir paslaugų rinkodarą</v>
      </c>
      <c r="E78" s="70"/>
      <c r="F78" s="70"/>
      <c r="G78" s="71"/>
      <c r="H78" s="70"/>
      <c r="I78" s="70"/>
      <c r="J78" s="71"/>
      <c r="K78" s="70"/>
      <c r="L78" s="70"/>
      <c r="M78" s="71"/>
      <c r="N78" s="70"/>
      <c r="O78" s="70"/>
      <c r="P78" s="49"/>
      <c r="Q78" s="70"/>
      <c r="R78" s="70"/>
      <c r="S78" s="71"/>
      <c r="T78" s="70"/>
      <c r="U78" s="70"/>
      <c r="V78" s="49"/>
      <c r="W78" s="44"/>
      <c r="X78" s="44"/>
      <c r="Y78" s="44"/>
      <c r="Z78" s="44"/>
      <c r="AA78" s="44"/>
      <c r="AB78" s="44"/>
      <c r="AC78" s="44"/>
      <c r="AD78" s="44"/>
      <c r="AE78" s="44"/>
      <c r="AF78" s="44"/>
      <c r="AG78" s="44"/>
    </row>
    <row r="79" spans="2:33" ht="109.5" customHeight="1" x14ac:dyDescent="0.25">
      <c r="B79" s="60" t="str">
        <f>'[1]1 lentelė'!B79</f>
        <v>2.1.2.1</v>
      </c>
      <c r="C79" s="60"/>
      <c r="D79" s="91" t="str">
        <f>'[1]1 lentelė'!D79</f>
        <v>Priemonė: Savivaldybes jungiančių turizmo trasų ir turizmo maršrutų informacinės infrastruktūros plėtra</v>
      </c>
      <c r="E79" s="60"/>
      <c r="F79" s="60"/>
      <c r="G79" s="60"/>
      <c r="H79" s="60"/>
      <c r="I79" s="60"/>
      <c r="J79" s="60"/>
      <c r="K79" s="60"/>
      <c r="L79" s="60"/>
      <c r="M79" s="60"/>
      <c r="N79" s="60"/>
      <c r="O79" s="60"/>
      <c r="P79" s="50"/>
      <c r="Q79" s="60"/>
      <c r="R79" s="60"/>
      <c r="S79" s="60"/>
      <c r="T79" s="60"/>
      <c r="U79" s="60"/>
      <c r="V79" s="50"/>
      <c r="W79" s="44"/>
      <c r="X79" s="44"/>
      <c r="Y79" s="44"/>
      <c r="Z79" s="44"/>
      <c r="AA79" s="44"/>
      <c r="AB79" s="44"/>
      <c r="AC79" s="44"/>
      <c r="AD79" s="44"/>
      <c r="AE79" s="44"/>
      <c r="AF79" s="44"/>
      <c r="AG79" s="44"/>
    </row>
    <row r="80" spans="2:33" ht="69" customHeight="1" x14ac:dyDescent="0.25">
      <c r="B80" s="35" t="str">
        <f>'[1]1 lentelė'!B81</f>
        <v xml:space="preserve">2.1.2.1.2 </v>
      </c>
      <c r="C80" s="35" t="str">
        <f>'[1]1 lentelė'!C81</f>
        <v>R098821-420000-2106</v>
      </c>
      <c r="D80" s="35" t="str">
        <f>'[1]1 lentelė'!D81</f>
        <v>Informacinės infrastruktūros plėtra Ignalinos, Molėtų ir Utenos rajonuose</v>
      </c>
      <c r="E80" s="32" t="s">
        <v>709</v>
      </c>
      <c r="F80" s="32" t="s">
        <v>733</v>
      </c>
      <c r="G80" s="32">
        <v>127</v>
      </c>
      <c r="H80" s="58"/>
      <c r="I80" s="58"/>
      <c r="J80" s="58"/>
      <c r="K80" s="58"/>
      <c r="L80" s="58"/>
      <c r="M80" s="58"/>
      <c r="N80" s="58"/>
      <c r="O80" s="58"/>
      <c r="P80" s="32"/>
      <c r="Q80" s="54"/>
      <c r="R80" s="74"/>
      <c r="S80" s="74"/>
      <c r="T80" s="74"/>
      <c r="U80" s="74"/>
      <c r="V80" s="74"/>
      <c r="W80" s="44"/>
      <c r="X80" s="44"/>
      <c r="Y80" s="44"/>
      <c r="Z80" s="44"/>
      <c r="AA80" s="44"/>
      <c r="AB80" s="44"/>
      <c r="AC80" s="44"/>
      <c r="AD80" s="44"/>
      <c r="AE80" s="44"/>
      <c r="AF80" s="44"/>
      <c r="AG80" s="44"/>
    </row>
    <row r="81" spans="2:33" s="238" customFormat="1" ht="69" customHeight="1" x14ac:dyDescent="0.25">
      <c r="B81" s="35" t="str">
        <f>'[1]1 lentelė'!B82</f>
        <v>2.1.2.1.3</v>
      </c>
      <c r="C81" s="35" t="str">
        <f>'[1]1 lentelė'!C82</f>
        <v>R098821-420000-2107</v>
      </c>
      <c r="D81" s="35" t="str">
        <f>'[1]1 lentelė'!D82</f>
        <v>Taktiliniai maketai turistui po atviru dangumi</v>
      </c>
      <c r="E81" s="32" t="s">
        <v>709</v>
      </c>
      <c r="F81" s="32" t="s">
        <v>733</v>
      </c>
      <c r="G81" s="32">
        <v>30</v>
      </c>
      <c r="H81" s="72"/>
      <c r="I81" s="72"/>
      <c r="J81" s="72"/>
      <c r="K81" s="72"/>
      <c r="L81" s="72"/>
      <c r="M81" s="72"/>
      <c r="N81" s="72"/>
      <c r="O81" s="72"/>
      <c r="P81" s="72"/>
      <c r="Q81" s="282"/>
      <c r="R81" s="282"/>
      <c r="S81" s="282"/>
      <c r="T81" s="282"/>
      <c r="U81" s="282"/>
      <c r="V81" s="282"/>
      <c r="X81" s="46"/>
      <c r="Y81" s="46"/>
      <c r="Z81" s="46"/>
      <c r="AA81" s="46"/>
      <c r="AB81" s="46"/>
      <c r="AC81" s="46"/>
      <c r="AD81" s="46"/>
      <c r="AE81" s="46"/>
      <c r="AF81" s="46"/>
      <c r="AG81" s="46"/>
    </row>
    <row r="82" spans="2:33" ht="90.75" customHeight="1" x14ac:dyDescent="0.25">
      <c r="B82" s="35" t="s">
        <v>1215</v>
      </c>
      <c r="C82" s="35" t="s">
        <v>1216</v>
      </c>
      <c r="D82" s="32" t="s">
        <v>1217</v>
      </c>
      <c r="E82" s="32" t="s">
        <v>709</v>
      </c>
      <c r="F82" s="32" t="s">
        <v>733</v>
      </c>
      <c r="G82" s="32">
        <v>27</v>
      </c>
      <c r="H82" s="58"/>
      <c r="I82" s="58"/>
      <c r="J82" s="58"/>
      <c r="K82" s="58"/>
      <c r="L82" s="58"/>
      <c r="M82" s="58"/>
      <c r="N82" s="58"/>
      <c r="O82" s="58"/>
      <c r="P82" s="32"/>
      <c r="Q82" s="54"/>
      <c r="R82" s="74"/>
      <c r="S82" s="74"/>
      <c r="T82" s="74"/>
      <c r="U82" s="74"/>
      <c r="V82" s="74"/>
      <c r="W82" s="44"/>
      <c r="X82" s="44"/>
      <c r="Y82" s="44"/>
      <c r="Z82" s="44"/>
      <c r="AA82" s="44"/>
      <c r="AB82" s="44"/>
      <c r="AC82" s="44"/>
      <c r="AD82" s="44"/>
      <c r="AE82" s="44"/>
      <c r="AF82" s="44"/>
      <c r="AG82" s="44"/>
    </row>
    <row r="83" spans="2:33" ht="50.25" customHeight="1" x14ac:dyDescent="0.25">
      <c r="B83" s="67" t="str">
        <f>'[1]1 lentelė'!B84</f>
        <v>2.2</v>
      </c>
      <c r="C83" s="67"/>
      <c r="D83" s="67" t="str">
        <f>'[1]1 lentelė'!D84</f>
        <v>Tikslas; darnaus išteklių naudojimo skatinimas</v>
      </c>
      <c r="E83" s="67"/>
      <c r="F83" s="67"/>
      <c r="G83" s="67"/>
      <c r="H83" s="343"/>
      <c r="I83" s="67"/>
      <c r="J83" s="67"/>
      <c r="K83" s="67"/>
      <c r="L83" s="343"/>
      <c r="M83" s="67"/>
      <c r="N83" s="67"/>
      <c r="O83" s="67"/>
      <c r="P83" s="51"/>
      <c r="Q83" s="67"/>
      <c r="R83" s="343"/>
      <c r="S83" s="67"/>
      <c r="T83" s="67"/>
      <c r="U83" s="67"/>
      <c r="V83" s="51"/>
      <c r="W83" s="44"/>
      <c r="X83" s="44"/>
      <c r="Y83" s="44"/>
      <c r="Z83" s="44"/>
      <c r="AA83" s="44"/>
      <c r="AB83" s="44"/>
      <c r="AC83" s="44"/>
      <c r="AD83" s="44"/>
      <c r="AE83" s="44"/>
      <c r="AF83" s="44"/>
      <c r="AG83" s="44"/>
    </row>
    <row r="84" spans="2:33" ht="115.5" customHeight="1" x14ac:dyDescent="0.25">
      <c r="B84" s="70" t="str">
        <f>'[1]1 lentelė'!B85</f>
        <v>2.2.1</v>
      </c>
      <c r="C84" s="70"/>
      <c r="D84" s="70" t="str">
        <f>'[1]1 lentelė'!D85</f>
        <v>Uždavinys: Plėtoti tvarią šilumos energijos, vandens tiekimo, nuotekų šalinimo ir atliekų tvarkymo sistemą</v>
      </c>
      <c r="E84" s="70"/>
      <c r="F84" s="70"/>
      <c r="G84" s="71"/>
      <c r="H84" s="70"/>
      <c r="I84" s="70"/>
      <c r="J84" s="71"/>
      <c r="K84" s="70"/>
      <c r="L84" s="70"/>
      <c r="M84" s="71"/>
      <c r="N84" s="70"/>
      <c r="O84" s="70"/>
      <c r="P84" s="49"/>
      <c r="Q84" s="70"/>
      <c r="R84" s="70"/>
      <c r="S84" s="71"/>
      <c r="T84" s="70"/>
      <c r="U84" s="70"/>
      <c r="V84" s="49"/>
      <c r="W84" s="44"/>
      <c r="X84" s="44"/>
      <c r="Y84" s="44"/>
      <c r="Z84" s="44"/>
      <c r="AA84" s="44"/>
      <c r="AB84" s="44"/>
      <c r="AC84" s="44"/>
      <c r="AD84" s="44"/>
      <c r="AE84" s="44"/>
      <c r="AF84" s="44"/>
      <c r="AG84" s="44"/>
    </row>
    <row r="85" spans="2:33" ht="138.75" customHeight="1" x14ac:dyDescent="0.25">
      <c r="B85" s="60" t="str">
        <f>'[1]1 lentelė'!B86</f>
        <v>2.2.1.1</v>
      </c>
      <c r="C85" s="60"/>
      <c r="D85" s="91" t="str">
        <f>'[1]1 lentelė'!D86</f>
        <v>Priemonė: Geriamojo vandens tiekimo ir nuotekų tvarkymo sistemų renovavimas ir plėtra, įmonių valdymo tobulinimas</v>
      </c>
      <c r="E85" s="60"/>
      <c r="F85" s="60"/>
      <c r="G85" s="60"/>
      <c r="H85" s="60"/>
      <c r="I85" s="60"/>
      <c r="J85" s="60"/>
      <c r="K85" s="60"/>
      <c r="L85" s="60"/>
      <c r="M85" s="60"/>
      <c r="N85" s="60"/>
      <c r="O85" s="60"/>
      <c r="P85" s="50"/>
      <c r="Q85" s="60"/>
      <c r="R85" s="60"/>
      <c r="S85" s="60"/>
      <c r="T85" s="60"/>
      <c r="U85" s="60"/>
      <c r="V85" s="50"/>
      <c r="W85" s="44"/>
      <c r="X85" s="44"/>
      <c r="Y85" s="44"/>
      <c r="Z85" s="44"/>
      <c r="AA85" s="44"/>
      <c r="AB85" s="44"/>
      <c r="AC85" s="44"/>
      <c r="AD85" s="44"/>
      <c r="AE85" s="44"/>
      <c r="AF85" s="44"/>
      <c r="AG85" s="44"/>
    </row>
    <row r="86" spans="2:33" ht="178.5" x14ac:dyDescent="0.25">
      <c r="B86" s="35" t="str">
        <f>'[1]1 lentelė'!B87</f>
        <v>2.2.1.1.1</v>
      </c>
      <c r="C86" s="35" t="str">
        <f>'[1]1 lentelė'!C87</f>
        <v>R090014-060700-2201</v>
      </c>
      <c r="D86" s="35" t="str">
        <f>'[1]1 lentelė'!D87</f>
        <v xml:space="preserve">Vandens tiekimo ir nuotekų tvarkymo infrastruktūros plėtra Ignalinos rajone </v>
      </c>
      <c r="E86" s="58" t="s">
        <v>720</v>
      </c>
      <c r="F86" s="58" t="s">
        <v>734</v>
      </c>
      <c r="G86" s="58">
        <v>5.23</v>
      </c>
      <c r="H86" s="58" t="s">
        <v>696</v>
      </c>
      <c r="I86" s="58" t="s">
        <v>735</v>
      </c>
      <c r="J86" s="58">
        <v>16</v>
      </c>
      <c r="K86" s="58" t="s">
        <v>697</v>
      </c>
      <c r="L86" s="58" t="s">
        <v>736</v>
      </c>
      <c r="M86" s="32">
        <v>1298</v>
      </c>
      <c r="N86" s="58" t="s">
        <v>698</v>
      </c>
      <c r="O86" s="32" t="s">
        <v>737</v>
      </c>
      <c r="P86" s="32">
        <v>120</v>
      </c>
      <c r="Q86" s="32" t="s">
        <v>699</v>
      </c>
      <c r="R86" s="32" t="s">
        <v>738</v>
      </c>
      <c r="S86" s="32">
        <v>27</v>
      </c>
      <c r="T86" s="32" t="s">
        <v>739</v>
      </c>
      <c r="U86" s="32" t="s">
        <v>740</v>
      </c>
      <c r="V86" s="32">
        <v>1314</v>
      </c>
      <c r="W86" s="32" t="s">
        <v>741</v>
      </c>
      <c r="X86" s="77" t="s">
        <v>742</v>
      </c>
      <c r="Y86" s="77">
        <v>147</v>
      </c>
      <c r="Z86" s="44"/>
      <c r="AA86" s="44"/>
      <c r="AB86" s="44"/>
      <c r="AC86" s="44"/>
      <c r="AD86" s="44"/>
      <c r="AE86" s="44"/>
      <c r="AF86" s="44"/>
      <c r="AG86" s="44"/>
    </row>
    <row r="87" spans="2:33" ht="165.75" x14ac:dyDescent="0.25">
      <c r="B87" s="35" t="str">
        <f>'[1]1 lentelė'!B88</f>
        <v>2.2.1.1.2</v>
      </c>
      <c r="C87" s="35" t="str">
        <f>'[1]1 lentelė'!C88</f>
        <v>R090014-070000-2202</v>
      </c>
      <c r="D87" s="35" t="str">
        <f>'[1]1 lentelė'!D88</f>
        <v xml:space="preserve">Vandens tiekimo ir nuotekų tvarkymo infrastruktūros plėtra ir rekonstravimas Zarasų rajono savivaldybėje </v>
      </c>
      <c r="E87" s="58" t="s">
        <v>696</v>
      </c>
      <c r="F87" s="58" t="s">
        <v>735</v>
      </c>
      <c r="G87" s="32">
        <v>106</v>
      </c>
      <c r="H87" s="32" t="s">
        <v>698</v>
      </c>
      <c r="I87" s="32" t="s">
        <v>737</v>
      </c>
      <c r="J87" s="32">
        <v>358</v>
      </c>
      <c r="K87" s="58" t="s">
        <v>699</v>
      </c>
      <c r="L87" s="58" t="s">
        <v>1408</v>
      </c>
      <c r="M87" s="58">
        <v>42</v>
      </c>
      <c r="N87" s="32" t="s">
        <v>739</v>
      </c>
      <c r="O87" s="32" t="s">
        <v>740</v>
      </c>
      <c r="P87" s="32">
        <v>106</v>
      </c>
      <c r="Q87" s="32" t="s">
        <v>741</v>
      </c>
      <c r="R87" s="32" t="s">
        <v>742</v>
      </c>
      <c r="S87" s="32">
        <v>400</v>
      </c>
      <c r="T87" s="75"/>
      <c r="U87" s="75"/>
      <c r="V87" s="75"/>
      <c r="W87" s="33"/>
      <c r="X87" s="46"/>
      <c r="Y87" s="46"/>
      <c r="Z87" s="44"/>
      <c r="AA87" s="44"/>
      <c r="AB87" s="44"/>
      <c r="AC87" s="44"/>
      <c r="AD87" s="44"/>
      <c r="AE87" s="44"/>
      <c r="AF87" s="44"/>
      <c r="AG87" s="44"/>
    </row>
    <row r="88" spans="2:33" ht="89.25" x14ac:dyDescent="0.25">
      <c r="B88" s="35" t="str">
        <f>'[1]1 lentelė'!B89</f>
        <v>2.2.1.1.3</v>
      </c>
      <c r="C88" s="35" t="str">
        <f>'[1]1 lentelė'!C89</f>
        <v>R090014-060000-2203</v>
      </c>
      <c r="D88" s="35" t="str">
        <f>'[1]1 lentelė'!D89</f>
        <v xml:space="preserve">Vandens tiekimo ir nuotekų tinklų rekonstravimas Visagine </v>
      </c>
      <c r="E88" s="32" t="s">
        <v>720</v>
      </c>
      <c r="F88" s="32" t="s">
        <v>734</v>
      </c>
      <c r="G88" s="32">
        <v>19.37</v>
      </c>
      <c r="H88" s="58"/>
      <c r="I88" s="58"/>
      <c r="J88" s="58"/>
      <c r="K88" s="58"/>
      <c r="L88" s="58"/>
      <c r="M88" s="58"/>
      <c r="N88" s="58"/>
      <c r="O88" s="32"/>
      <c r="P88" s="32"/>
      <c r="Q88" s="75"/>
      <c r="R88" s="75"/>
      <c r="S88" s="75"/>
      <c r="T88" s="75"/>
      <c r="U88" s="75"/>
      <c r="V88" s="75"/>
      <c r="W88" s="33"/>
      <c r="X88" s="46"/>
      <c r="Y88" s="46"/>
      <c r="Z88" s="44"/>
      <c r="AA88" s="44"/>
      <c r="AB88" s="44"/>
      <c r="AC88" s="44"/>
      <c r="AD88" s="44"/>
      <c r="AE88" s="44"/>
      <c r="AF88" s="44"/>
      <c r="AG88" s="44"/>
    </row>
    <row r="89" spans="2:33" ht="165.75" x14ac:dyDescent="0.25">
      <c r="B89" s="35" t="str">
        <f>'[1]1 lentelė'!B90</f>
        <v>2.2.1.1.4</v>
      </c>
      <c r="C89" s="35" t="str">
        <f>'[1]1 lentelė'!C90</f>
        <v>R090014-070600-2204</v>
      </c>
      <c r="D89" s="35" t="str">
        <f>'[1]1 lentelė'!D90</f>
        <v>Vandens tiekimo ir nuotekų tvarkymo infrastruktūros plėtra ir rekonstrukcija Anykščių r. sav. Kurklių miestelyje</v>
      </c>
      <c r="E89" s="58" t="s">
        <v>696</v>
      </c>
      <c r="F89" s="58" t="s">
        <v>735</v>
      </c>
      <c r="G89" s="58">
        <v>328</v>
      </c>
      <c r="H89" s="58" t="s">
        <v>698</v>
      </c>
      <c r="I89" s="58" t="s">
        <v>737</v>
      </c>
      <c r="J89" s="58">
        <v>273</v>
      </c>
      <c r="K89" s="58" t="s">
        <v>699</v>
      </c>
      <c r="L89" s="58" t="s">
        <v>1408</v>
      </c>
      <c r="M89" s="58">
        <v>350</v>
      </c>
      <c r="N89" s="58" t="s">
        <v>720</v>
      </c>
      <c r="O89" s="32" t="s">
        <v>734</v>
      </c>
      <c r="P89" s="32">
        <v>0.31</v>
      </c>
      <c r="Q89" s="32" t="s">
        <v>739</v>
      </c>
      <c r="R89" s="32" t="s">
        <v>740</v>
      </c>
      <c r="S89" s="32">
        <v>328</v>
      </c>
      <c r="T89" s="32" t="s">
        <v>741</v>
      </c>
      <c r="U89" s="32" t="s">
        <v>742</v>
      </c>
      <c r="V89" s="32">
        <v>350</v>
      </c>
      <c r="W89" s="33"/>
      <c r="X89" s="46"/>
      <c r="Y89" s="46"/>
      <c r="Z89" s="44"/>
      <c r="AA89" s="44"/>
      <c r="AB89" s="44"/>
      <c r="AC89" s="44"/>
      <c r="AD89" s="44"/>
      <c r="AE89" s="44"/>
      <c r="AF89" s="44"/>
      <c r="AG89" s="44"/>
    </row>
    <row r="90" spans="2:33" ht="165.75" x14ac:dyDescent="0.25">
      <c r="B90" s="35" t="str">
        <f>'[1]1 lentelė'!B91</f>
        <v>2.2.1.1.5</v>
      </c>
      <c r="C90" s="35" t="str">
        <f>'[1]1 lentelė'!C91</f>
        <v>R090014-070600-2205</v>
      </c>
      <c r="D90" s="35" t="str">
        <f>'[1]1 lentelė'!D91</f>
        <v xml:space="preserve"> Vandens tiekimo ir nuotekų tvarkymo infrastruktūros plėtra ir rekonstrukcija Molėtų rajone </v>
      </c>
      <c r="E90" s="58" t="s">
        <v>696</v>
      </c>
      <c r="F90" s="58" t="s">
        <v>735</v>
      </c>
      <c r="G90" s="58">
        <v>20</v>
      </c>
      <c r="H90" s="58" t="s">
        <v>698</v>
      </c>
      <c r="I90" s="58" t="s">
        <v>737</v>
      </c>
      <c r="J90" s="32">
        <v>210</v>
      </c>
      <c r="K90" s="32" t="s">
        <v>699</v>
      </c>
      <c r="L90" s="32" t="s">
        <v>1408</v>
      </c>
      <c r="M90" s="32">
        <v>194</v>
      </c>
      <c r="N90" s="32" t="s">
        <v>720</v>
      </c>
      <c r="O90" s="32" t="s">
        <v>734</v>
      </c>
      <c r="P90" s="32">
        <v>2.4300000000000002</v>
      </c>
      <c r="Q90" s="32" t="s">
        <v>739</v>
      </c>
      <c r="R90" s="32" t="s">
        <v>740</v>
      </c>
      <c r="S90" s="32">
        <v>20</v>
      </c>
      <c r="T90" s="32" t="s">
        <v>741</v>
      </c>
      <c r="U90" s="32" t="s">
        <v>742</v>
      </c>
      <c r="V90" s="32">
        <v>404</v>
      </c>
      <c r="W90" s="33"/>
      <c r="X90" s="46"/>
      <c r="Y90" s="46"/>
      <c r="Z90" s="44"/>
      <c r="AA90" s="44"/>
      <c r="AB90" s="44"/>
      <c r="AC90" s="44"/>
      <c r="AD90" s="44"/>
      <c r="AE90" s="44"/>
      <c r="AF90" s="44"/>
      <c r="AG90" s="44"/>
    </row>
    <row r="91" spans="2:33" ht="140.25" x14ac:dyDescent="0.25">
      <c r="B91" s="35" t="str">
        <f>'[1]1 lentelė'!B92</f>
        <v>2.2.1.1.6</v>
      </c>
      <c r="C91" s="35" t="str">
        <f>'[1]1 lentelė'!C92</f>
        <v>R090014-075000-2206</v>
      </c>
      <c r="D91" s="35" t="str">
        <f>'[1]1 lentelė'!D92</f>
        <v>Vandens tiekimo ir nuotekų tvarkymo infrastruktūros plėtra Utenos rajone (Jasonių k.)</v>
      </c>
      <c r="E91" s="58" t="s">
        <v>696</v>
      </c>
      <c r="F91" s="58" t="s">
        <v>1409</v>
      </c>
      <c r="G91" s="58">
        <v>544</v>
      </c>
      <c r="H91" s="58" t="s">
        <v>698</v>
      </c>
      <c r="I91" s="58" t="s">
        <v>1410</v>
      </c>
      <c r="J91" s="58">
        <v>634</v>
      </c>
      <c r="K91" s="32" t="s">
        <v>739</v>
      </c>
      <c r="L91" s="32" t="s">
        <v>740</v>
      </c>
      <c r="M91" s="32">
        <v>544</v>
      </c>
      <c r="N91" s="32" t="s">
        <v>741</v>
      </c>
      <c r="O91" s="32" t="s">
        <v>742</v>
      </c>
      <c r="P91" s="32">
        <v>634</v>
      </c>
      <c r="Q91" s="75"/>
      <c r="R91" s="75"/>
      <c r="S91" s="75"/>
      <c r="T91" s="75"/>
      <c r="U91" s="75"/>
      <c r="V91" s="75"/>
      <c r="W91" s="33"/>
      <c r="X91" s="46"/>
      <c r="Y91" s="46"/>
      <c r="Z91" s="44"/>
      <c r="AA91" s="44"/>
      <c r="AB91" s="44"/>
      <c r="AC91" s="44"/>
      <c r="AD91" s="44"/>
      <c r="AE91" s="44"/>
      <c r="AF91" s="44"/>
      <c r="AG91" s="44"/>
    </row>
    <row r="92" spans="2:33" ht="104.25" customHeight="1" x14ac:dyDescent="0.25">
      <c r="B92" s="35" t="str">
        <f>'[1]1 lentelė'!B93</f>
        <v>2.2.1.1.7</v>
      </c>
      <c r="C92" s="35" t="str">
        <f>'[1]1 lentelė'!C93</f>
        <v>R090014-060000-2225</v>
      </c>
      <c r="D92" s="35" t="str">
        <f>'[1]1 lentelė'!D93</f>
        <v>Vandens tiekimo ir nuotekų tvarkymo infrastruktūros rekonstrukcija ir inventorizacija Ignalinos rajone</v>
      </c>
      <c r="E92" s="32" t="s">
        <v>720</v>
      </c>
      <c r="F92" s="32" t="s">
        <v>734</v>
      </c>
      <c r="G92" s="32">
        <v>0.95</v>
      </c>
      <c r="H92" s="32"/>
      <c r="I92" s="32"/>
      <c r="J92" s="32"/>
      <c r="K92" s="32"/>
      <c r="L92" s="32"/>
      <c r="M92" s="32"/>
      <c r="N92" s="32"/>
      <c r="O92" s="32"/>
      <c r="P92" s="32"/>
      <c r="Q92" s="75"/>
      <c r="R92" s="75"/>
      <c r="S92" s="75"/>
      <c r="T92" s="75"/>
      <c r="U92" s="75"/>
      <c r="V92" s="75"/>
      <c r="W92" s="33"/>
      <c r="X92" s="46"/>
      <c r="Y92" s="46"/>
      <c r="Z92" s="44"/>
      <c r="AA92" s="44"/>
      <c r="AB92" s="44"/>
      <c r="AC92" s="44"/>
      <c r="AD92" s="44"/>
      <c r="AE92" s="44"/>
      <c r="AF92" s="44"/>
      <c r="AG92" s="44"/>
    </row>
    <row r="93" spans="2:33" ht="165.75" x14ac:dyDescent="0.25">
      <c r="B93" s="35" t="str">
        <f>'[1]1 lentelė'!B94</f>
        <v>2.2.1.1.8</v>
      </c>
      <c r="C93" s="35" t="str">
        <f>'[1]1 lentelė'!C94</f>
        <v>R090014-075000-2226</v>
      </c>
      <c r="D93" s="35" t="str">
        <f>'[1]1 lentelė'!D94</f>
        <v>Vandens tiekimo ir nuotekų tvarkymo infrastruktūros plėtra Utenos rajone (Jasonių k. II etapas)</v>
      </c>
      <c r="E93" s="32" t="s">
        <v>696</v>
      </c>
      <c r="F93" s="32" t="s">
        <v>735</v>
      </c>
      <c r="G93" s="32">
        <v>153</v>
      </c>
      <c r="H93" s="340"/>
      <c r="I93" s="340"/>
      <c r="J93" s="340"/>
      <c r="K93" s="32" t="s">
        <v>698</v>
      </c>
      <c r="L93" s="32" t="s">
        <v>737</v>
      </c>
      <c r="M93" s="32">
        <v>153</v>
      </c>
      <c r="N93" s="340"/>
      <c r="O93" s="340"/>
      <c r="P93" s="340"/>
      <c r="Q93" s="32" t="s">
        <v>739</v>
      </c>
      <c r="R93" s="32" t="s">
        <v>740</v>
      </c>
      <c r="S93" s="32">
        <v>153</v>
      </c>
      <c r="T93" s="32" t="s">
        <v>741</v>
      </c>
      <c r="U93" s="32" t="s">
        <v>742</v>
      </c>
      <c r="V93" s="32">
        <v>153</v>
      </c>
      <c r="W93" s="46"/>
      <c r="X93" s="46"/>
      <c r="Y93" s="46"/>
      <c r="Z93" s="44"/>
      <c r="AA93" s="44"/>
      <c r="AB93" s="44"/>
      <c r="AC93" s="44"/>
      <c r="AD93" s="44"/>
      <c r="AE93" s="44"/>
      <c r="AF93" s="44"/>
      <c r="AG93" s="44"/>
    </row>
    <row r="94" spans="2:33" s="235" customFormat="1" ht="165.75" x14ac:dyDescent="0.25">
      <c r="B94" s="35" t="str">
        <f>'[1]1 lentelė'!B95</f>
        <v>2.2.1.1.9</v>
      </c>
      <c r="C94" s="35" t="str">
        <f>'[1]1 lentelė'!C95</f>
        <v>R090014-070000-2227</v>
      </c>
      <c r="D94" s="35" t="str">
        <f>'[1]1 lentelė'!D95</f>
        <v>Vandentiekio ir nuotekų tinklų Anykščių aglomeracijoje (sodų bendrija ,,Šaltupys" ir Keblonių k.) statybos darbai.</v>
      </c>
      <c r="E94" s="32" t="s">
        <v>696</v>
      </c>
      <c r="F94" s="32" t="s">
        <v>735</v>
      </c>
      <c r="G94" s="32">
        <v>288</v>
      </c>
      <c r="H94" s="32" t="s">
        <v>698</v>
      </c>
      <c r="I94" s="32" t="s">
        <v>737</v>
      </c>
      <c r="J94" s="32">
        <v>288</v>
      </c>
      <c r="K94" s="32" t="s">
        <v>739</v>
      </c>
      <c r="L94" s="32" t="s">
        <v>740</v>
      </c>
      <c r="M94" s="32">
        <v>288</v>
      </c>
      <c r="N94" s="32" t="s">
        <v>741</v>
      </c>
      <c r="O94" s="32" t="s">
        <v>742</v>
      </c>
      <c r="P94" s="32">
        <v>288</v>
      </c>
      <c r="Q94" s="75"/>
      <c r="R94" s="77"/>
      <c r="S94" s="77"/>
      <c r="T94" s="76"/>
      <c r="U94" s="76"/>
      <c r="V94" s="76"/>
      <c r="W94" s="46"/>
      <c r="X94" s="46"/>
      <c r="Y94" s="46"/>
      <c r="Z94" s="46"/>
      <c r="AA94" s="46"/>
      <c r="AB94" s="46"/>
      <c r="AC94" s="46"/>
      <c r="AD94" s="46"/>
      <c r="AE94" s="46"/>
      <c r="AF94" s="46"/>
      <c r="AG94" s="46"/>
    </row>
    <row r="95" spans="2:33" ht="178.5" x14ac:dyDescent="0.25">
      <c r="B95" s="35" t="str">
        <f>'[1]1 lentelė'!B96</f>
        <v>2.2.1.1.10</v>
      </c>
      <c r="C95" s="35" t="str">
        <f>'[1]1 lentelė'!C96</f>
        <v>R090014-070600-2228</v>
      </c>
      <c r="D95" s="35" t="str">
        <f>'[1]1 lentelė'!D96</f>
        <v>Vandens tiekimo ir nuotekų tvarkymo infrastruktūros plėtra ir rekonstravimas Zarasų rajono savivaldybėje (II etapas)</v>
      </c>
      <c r="E95" s="32" t="s">
        <v>696</v>
      </c>
      <c r="F95" s="32" t="s">
        <v>735</v>
      </c>
      <c r="G95" s="32">
        <v>44</v>
      </c>
      <c r="H95" s="32" t="s">
        <v>698</v>
      </c>
      <c r="I95" s="32" t="s">
        <v>737</v>
      </c>
      <c r="J95" s="32">
        <v>93</v>
      </c>
      <c r="K95" s="32" t="s">
        <v>699</v>
      </c>
      <c r="L95" s="32" t="s">
        <v>738</v>
      </c>
      <c r="M95" s="32">
        <v>62</v>
      </c>
      <c r="N95" s="32" t="s">
        <v>739</v>
      </c>
      <c r="O95" s="32" t="s">
        <v>740</v>
      </c>
      <c r="P95" s="32">
        <v>44</v>
      </c>
      <c r="Q95" s="32" t="s">
        <v>741</v>
      </c>
      <c r="R95" s="32" t="s">
        <v>742</v>
      </c>
      <c r="S95" s="32">
        <v>155</v>
      </c>
      <c r="T95" s="76"/>
      <c r="U95" s="76"/>
      <c r="V95" s="76"/>
      <c r="W95" s="46"/>
      <c r="X95" s="46"/>
      <c r="Y95" s="46"/>
      <c r="Z95" s="44"/>
      <c r="AA95" s="44"/>
      <c r="AB95" s="44"/>
      <c r="AC95" s="44"/>
      <c r="AD95" s="44"/>
      <c r="AE95" s="44"/>
      <c r="AF95" s="44"/>
      <c r="AG95" s="44"/>
    </row>
    <row r="96" spans="2:33" ht="165.75" x14ac:dyDescent="0.25">
      <c r="B96" s="35" t="str">
        <f>'[1]1 lentelė'!B97</f>
        <v>2.2.1.1.11</v>
      </c>
      <c r="C96" s="35" t="str">
        <f>'[1]1 lentelė'!C97</f>
        <v>R090014-070600-2229</v>
      </c>
      <c r="D96" s="35" t="str">
        <f>'[1]1 lentelė'!D97</f>
        <v>Vandens tiekimo ir nuotekų tvarkymo infrastruktūros plėtra ir rekonstrukcija Molėtų rajone (II etapas)</v>
      </c>
      <c r="E96" s="32" t="s">
        <v>696</v>
      </c>
      <c r="F96" s="32" t="s">
        <v>735</v>
      </c>
      <c r="G96" s="32">
        <v>32</v>
      </c>
      <c r="H96" s="32" t="s">
        <v>698</v>
      </c>
      <c r="I96" s="32" t="s">
        <v>737</v>
      </c>
      <c r="J96" s="32">
        <v>107</v>
      </c>
      <c r="K96" s="32" t="s">
        <v>720</v>
      </c>
      <c r="L96" s="32" t="s">
        <v>734</v>
      </c>
      <c r="M96" s="53">
        <v>0.1</v>
      </c>
      <c r="N96" s="32" t="s">
        <v>741</v>
      </c>
      <c r="O96" s="32" t="s">
        <v>742</v>
      </c>
      <c r="P96" s="32">
        <v>107</v>
      </c>
      <c r="Q96" s="32" t="s">
        <v>739</v>
      </c>
      <c r="R96" s="32" t="s">
        <v>740</v>
      </c>
      <c r="S96" s="32">
        <v>32</v>
      </c>
      <c r="T96" s="76"/>
      <c r="U96" s="76"/>
      <c r="V96" s="76"/>
      <c r="W96" s="46"/>
      <c r="X96" s="46"/>
      <c r="Y96" s="46"/>
      <c r="Z96" s="44"/>
      <c r="AA96" s="44"/>
      <c r="AB96" s="44"/>
      <c r="AC96" s="44"/>
      <c r="AD96" s="44"/>
      <c r="AE96" s="44"/>
      <c r="AF96" s="44"/>
      <c r="AG96" s="44"/>
    </row>
    <row r="97" spans="2:33" ht="54.75" customHeight="1" x14ac:dyDescent="0.25">
      <c r="B97" s="60" t="str">
        <f>'[1]1 lentelė'!B98</f>
        <v>2.2.1.2</v>
      </c>
      <c r="C97" s="60"/>
      <c r="D97" s="91" t="str">
        <f>'[1]1 lentelė'!D98</f>
        <v>Priemonė: Paviršinių nuotekų sistemų tvarkymas</v>
      </c>
      <c r="E97" s="60"/>
      <c r="F97" s="60"/>
      <c r="G97" s="60"/>
      <c r="H97" s="60"/>
      <c r="I97" s="60"/>
      <c r="J97" s="60"/>
      <c r="K97" s="60"/>
      <c r="L97" s="60"/>
      <c r="M97" s="60"/>
      <c r="N97" s="60"/>
      <c r="O97" s="60"/>
      <c r="P97" s="60"/>
      <c r="Q97" s="60"/>
      <c r="R97" s="60"/>
      <c r="S97" s="60"/>
      <c r="T97" s="60"/>
      <c r="U97" s="60"/>
      <c r="V97" s="60"/>
      <c r="W97" s="46"/>
      <c r="X97" s="46"/>
      <c r="Y97" s="46"/>
      <c r="Z97" s="44"/>
      <c r="AA97" s="44"/>
      <c r="AB97" s="44"/>
      <c r="AC97" s="44"/>
      <c r="AD97" s="44"/>
      <c r="AE97" s="44"/>
      <c r="AF97" s="44"/>
      <c r="AG97" s="44"/>
    </row>
    <row r="98" spans="2:33" ht="154.5" customHeight="1" x14ac:dyDescent="0.25">
      <c r="B98" s="35" t="str">
        <f>'[1]1 lentelė'!B99</f>
        <v>2.2.1.2.1</v>
      </c>
      <c r="C98" s="35" t="str">
        <f>'[1]1 lentelė'!C99</f>
        <v>R090007-080000-2207</v>
      </c>
      <c r="D98" s="35" t="str">
        <f>'[1]1 lentelė'!D99</f>
        <v>Paviršinių nuotekų tinklų ir jiems priklausančios infrastruktūros rekonstrukcija ir plėtra Utenos mieste</v>
      </c>
      <c r="E98" s="58" t="s">
        <v>718</v>
      </c>
      <c r="F98" s="58" t="s">
        <v>743</v>
      </c>
      <c r="G98" s="58">
        <v>52.58</v>
      </c>
      <c r="H98" s="58" t="s">
        <v>695</v>
      </c>
      <c r="I98" s="58" t="s">
        <v>744</v>
      </c>
      <c r="J98" s="58">
        <v>20.25</v>
      </c>
      <c r="K98" s="58"/>
      <c r="L98" s="58"/>
      <c r="M98" s="58"/>
      <c r="N98" s="58"/>
      <c r="O98" s="58"/>
      <c r="P98" s="32"/>
      <c r="Q98" s="75"/>
      <c r="R98" s="76"/>
      <c r="S98" s="76"/>
      <c r="T98" s="76"/>
      <c r="U98" s="76"/>
      <c r="V98" s="76"/>
      <c r="W98" s="46"/>
      <c r="X98" s="46"/>
      <c r="Y98" s="46"/>
      <c r="Z98" s="44"/>
      <c r="AA98" s="44"/>
      <c r="AB98" s="44"/>
      <c r="AC98" s="44"/>
      <c r="AD98" s="44"/>
      <c r="AE98" s="44"/>
      <c r="AF98" s="44"/>
      <c r="AG98" s="44"/>
    </row>
    <row r="99" spans="2:33" ht="156" customHeight="1" x14ac:dyDescent="0.25">
      <c r="B99" s="35" t="str">
        <f>'[1]1 lentelė'!B100</f>
        <v>2.2.1.2.2</v>
      </c>
      <c r="C99" s="35" t="str">
        <f>'[1]1 lentelė'!C100</f>
        <v>R090007-080000-2208</v>
      </c>
      <c r="D99" s="35" t="str">
        <f>'[1]1 lentelė'!D100</f>
        <v>Inžinerinių paviršinių nuotekų surinkimo ir šalinimo tinklų rekonstravimas Visagino g. atkarpoje nuo Parko iki Vilties g.</v>
      </c>
      <c r="E99" s="58" t="s">
        <v>718</v>
      </c>
      <c r="F99" s="58" t="s">
        <v>1411</v>
      </c>
      <c r="G99" s="58">
        <v>71.92</v>
      </c>
      <c r="H99" s="58"/>
      <c r="I99" s="58"/>
      <c r="J99" s="58"/>
      <c r="K99" s="58"/>
      <c r="L99" s="58"/>
      <c r="M99" s="58"/>
      <c r="N99" s="58"/>
      <c r="O99" s="58"/>
      <c r="P99" s="32"/>
      <c r="Q99" s="75"/>
      <c r="R99" s="76"/>
      <c r="S99" s="76"/>
      <c r="T99" s="76"/>
      <c r="U99" s="76"/>
      <c r="V99" s="76"/>
      <c r="W99" s="46"/>
      <c r="X99" s="46"/>
      <c r="Y99" s="46"/>
      <c r="Z99" s="44"/>
      <c r="AA99" s="44"/>
      <c r="AB99" s="44"/>
      <c r="AC99" s="44"/>
      <c r="AD99" s="44"/>
      <c r="AE99" s="44"/>
      <c r="AF99" s="44"/>
      <c r="AG99" s="44"/>
    </row>
    <row r="100" spans="2:33" ht="66.75" customHeight="1" x14ac:dyDescent="0.25">
      <c r="B100" s="27" t="str">
        <f>'[1]1 lentelė'!B101</f>
        <v>2.2.1.3</v>
      </c>
      <c r="C100" s="27" t="e">
        <f>'[1]1 lentelė'!C101</f>
        <v>#REF!</v>
      </c>
      <c r="D100" s="27" t="str">
        <f>'[1]1 lentelė'!D101</f>
        <v>Priemonė: Komunalinių atliekų tvarkymo infrastruktūros plėtra</v>
      </c>
      <c r="E100" s="27"/>
      <c r="F100" s="27"/>
      <c r="G100" s="27"/>
      <c r="H100" s="27"/>
      <c r="I100" s="27"/>
      <c r="J100" s="27"/>
      <c r="K100" s="27"/>
      <c r="L100" s="27"/>
      <c r="M100" s="27"/>
      <c r="N100" s="27"/>
      <c r="O100" s="27"/>
      <c r="P100" s="27"/>
      <c r="Q100" s="27"/>
      <c r="R100" s="27"/>
      <c r="S100" s="27"/>
      <c r="T100" s="27"/>
      <c r="U100" s="27"/>
      <c r="V100" s="27"/>
      <c r="W100" s="46"/>
      <c r="X100" s="46"/>
      <c r="Y100" s="46"/>
      <c r="Z100" s="44"/>
      <c r="AA100" s="44"/>
      <c r="AB100" s="44"/>
      <c r="AC100" s="44"/>
      <c r="AD100" s="44"/>
      <c r="AE100" s="44"/>
      <c r="AF100" s="44"/>
      <c r="AG100" s="44"/>
    </row>
    <row r="101" spans="2:33" ht="103.5" customHeight="1" x14ac:dyDescent="0.25">
      <c r="B101" s="35" t="str">
        <f>'[1]1 lentelė'!B102</f>
        <v>2.2.1.3.1</v>
      </c>
      <c r="C101" s="35" t="str">
        <f>'[1]1 lentelė'!C102</f>
        <v>R090008-050000-2209</v>
      </c>
      <c r="D101" s="35" t="str">
        <f>'[1]1 lentelė'!D102</f>
        <v>Komunalinių atliekų tvarkymo infrastruktūros plėtra Visagino savivaldybėje</v>
      </c>
      <c r="E101" s="58" t="s">
        <v>719</v>
      </c>
      <c r="F101" s="58" t="s">
        <v>1412</v>
      </c>
      <c r="G101" s="32">
        <v>1105.32</v>
      </c>
      <c r="H101" s="58"/>
      <c r="I101" s="58"/>
      <c r="J101" s="58"/>
      <c r="K101" s="58"/>
      <c r="L101" s="58"/>
      <c r="M101" s="58"/>
      <c r="N101" s="58"/>
      <c r="O101" s="58"/>
      <c r="P101" s="32"/>
      <c r="Q101" s="75"/>
      <c r="R101" s="76"/>
      <c r="S101" s="76"/>
      <c r="T101" s="76"/>
      <c r="U101" s="76"/>
      <c r="V101" s="76"/>
      <c r="W101" s="46"/>
      <c r="X101" s="46"/>
      <c r="Y101" s="46"/>
      <c r="Z101" s="44"/>
      <c r="AA101" s="44"/>
      <c r="AB101" s="44"/>
      <c r="AC101" s="44"/>
      <c r="AD101" s="44"/>
      <c r="AE101" s="44"/>
      <c r="AF101" s="44"/>
      <c r="AG101" s="44"/>
    </row>
    <row r="102" spans="2:33" ht="144.75" customHeight="1" x14ac:dyDescent="0.25">
      <c r="B102" s="35" t="str">
        <f>'[1]1 lentelė'!B103</f>
        <v>2.2.1.3.2</v>
      </c>
      <c r="C102" s="35" t="str">
        <f>'[1]1 lentelė'!C103</f>
        <v>R090008-050000-2210</v>
      </c>
      <c r="D102" s="35" t="str">
        <f>'[1]1 lentelė'!D103</f>
        <v>Konteinerinių aikštelių įrengimas ( rekonstrukcija) Ignalinos r. savivaldybėje ir atliekų surinkimo konteinerių konteinerinėms aikštelėms įsigijimas</v>
      </c>
      <c r="E102" s="58" t="s">
        <v>719</v>
      </c>
      <c r="F102" s="58" t="s">
        <v>1413</v>
      </c>
      <c r="G102" s="32">
        <v>729</v>
      </c>
      <c r="H102" s="58"/>
      <c r="I102" s="58"/>
      <c r="J102" s="58"/>
      <c r="K102" s="58"/>
      <c r="L102" s="58"/>
      <c r="M102" s="58"/>
      <c r="N102" s="58"/>
      <c r="O102" s="58"/>
      <c r="P102" s="32"/>
      <c r="Q102" s="75"/>
      <c r="R102" s="76"/>
      <c r="S102" s="76"/>
      <c r="T102" s="76"/>
      <c r="U102" s="76"/>
      <c r="V102" s="76"/>
      <c r="W102" s="46"/>
      <c r="X102" s="46"/>
      <c r="Y102" s="46"/>
      <c r="Z102" s="44"/>
      <c r="AA102" s="44"/>
      <c r="AB102" s="44"/>
      <c r="AC102" s="44"/>
      <c r="AD102" s="44"/>
      <c r="AE102" s="44"/>
      <c r="AF102" s="44"/>
      <c r="AG102" s="44"/>
    </row>
    <row r="103" spans="2:33" ht="92.25" customHeight="1" x14ac:dyDescent="0.25">
      <c r="B103" s="35" t="str">
        <f>'[1]1 lentelė'!B104</f>
        <v>2.2.1.3.3</v>
      </c>
      <c r="C103" s="35" t="str">
        <f>'[1]1 lentelė'!C104</f>
        <v>R090008-050000-2211</v>
      </c>
      <c r="D103" s="35" t="str">
        <f>'[1]1 lentelė'!D104</f>
        <v>Komunalinių atliekų tvarkymo infrastruktūros plėtra Anykščių rajono savivaldybėje</v>
      </c>
      <c r="E103" s="32" t="s">
        <v>719</v>
      </c>
      <c r="F103" s="32" t="s">
        <v>1414</v>
      </c>
      <c r="G103" s="32">
        <v>2553.5</v>
      </c>
      <c r="H103" s="58"/>
      <c r="I103" s="58"/>
      <c r="J103" s="58"/>
      <c r="K103" s="58"/>
      <c r="L103" s="58"/>
      <c r="M103" s="58"/>
      <c r="N103" s="58"/>
      <c r="O103" s="58"/>
      <c r="P103" s="32"/>
      <c r="Q103" s="75"/>
      <c r="R103" s="76"/>
      <c r="S103" s="76"/>
      <c r="T103" s="76"/>
      <c r="U103" s="76"/>
      <c r="V103" s="76"/>
      <c r="W103" s="46"/>
      <c r="X103" s="46"/>
      <c r="Y103" s="46"/>
      <c r="Z103" s="44"/>
      <c r="AA103" s="44"/>
      <c r="AB103" s="44"/>
      <c r="AC103" s="44"/>
      <c r="AD103" s="44"/>
      <c r="AE103" s="44"/>
      <c r="AF103" s="44"/>
      <c r="AG103" s="44"/>
    </row>
    <row r="104" spans="2:33" ht="89.25" x14ac:dyDescent="0.25">
      <c r="B104" s="35" t="str">
        <f>'[1]1 lentelė'!B105</f>
        <v>2.2.1.3.4</v>
      </c>
      <c r="C104" s="35" t="str">
        <f>'[1]1 lentelė'!C105</f>
        <v>R090008-050000-2212</v>
      </c>
      <c r="D104" s="35" t="str">
        <f>'[1]1 lentelė'!D105</f>
        <v>Molėtų rajono komunalinių atliekų tvarkymo infrastruktūros plėtra</v>
      </c>
      <c r="E104" s="32" t="s">
        <v>719</v>
      </c>
      <c r="F104" s="32" t="s">
        <v>1414</v>
      </c>
      <c r="G104" s="32">
        <v>2248.75</v>
      </c>
      <c r="H104" s="58"/>
      <c r="I104" s="58"/>
      <c r="J104" s="58"/>
      <c r="K104" s="58"/>
      <c r="L104" s="58"/>
      <c r="M104" s="58"/>
      <c r="N104" s="58"/>
      <c r="O104" s="58"/>
      <c r="P104" s="32"/>
      <c r="Q104" s="75"/>
      <c r="R104" s="76"/>
      <c r="S104" s="76"/>
      <c r="T104" s="76"/>
      <c r="U104" s="76"/>
      <c r="V104" s="76"/>
      <c r="W104" s="46"/>
      <c r="X104" s="46"/>
      <c r="Y104" s="46"/>
      <c r="Z104" s="44"/>
      <c r="AA104" s="44"/>
      <c r="AB104" s="44"/>
      <c r="AC104" s="44"/>
      <c r="AD104" s="44"/>
      <c r="AE104" s="44"/>
      <c r="AF104" s="44"/>
      <c r="AG104" s="44"/>
    </row>
    <row r="105" spans="2:33" ht="102" x14ac:dyDescent="0.25">
      <c r="B105" s="35" t="str">
        <f>'[1]1 lentelė'!B106</f>
        <v>2.2.1.3.5</v>
      </c>
      <c r="C105" s="35" t="str">
        <f>'[1]1 lentelė'!C106</f>
        <v>R090008-050000-2213</v>
      </c>
      <c r="D105" s="35" t="str">
        <f>'[1]1 lentelė'!D106</f>
        <v>Komunalinių atliekų tvarkymo infrastruktūros plėtra Zarasų rajone</v>
      </c>
      <c r="E105" s="58" t="s">
        <v>719</v>
      </c>
      <c r="F105" s="58" t="s">
        <v>1412</v>
      </c>
      <c r="G105" s="32">
        <v>1213.93</v>
      </c>
      <c r="H105" s="58"/>
      <c r="I105" s="58"/>
      <c r="J105" s="58"/>
      <c r="K105" s="58"/>
      <c r="L105" s="58"/>
      <c r="M105" s="58"/>
      <c r="N105" s="58"/>
      <c r="O105" s="58"/>
      <c r="P105" s="32"/>
      <c r="Q105" s="75"/>
      <c r="R105" s="76"/>
      <c r="S105" s="76"/>
      <c r="T105" s="76"/>
      <c r="U105" s="76"/>
      <c r="V105" s="76"/>
      <c r="W105" s="46"/>
      <c r="X105" s="46"/>
      <c r="Y105" s="46"/>
      <c r="Z105" s="44"/>
      <c r="AA105" s="44"/>
      <c r="AB105" s="44"/>
      <c r="AC105" s="44"/>
      <c r="AD105" s="44"/>
      <c r="AE105" s="44"/>
      <c r="AF105" s="44"/>
      <c r="AG105" s="44"/>
    </row>
    <row r="106" spans="2:33" ht="89.25" x14ac:dyDescent="0.25">
      <c r="B106" s="35" t="str">
        <f>'[1]1 lentelė'!B107</f>
        <v>2.2.1.3.6</v>
      </c>
      <c r="C106" s="35" t="str">
        <f>'[1]1 lentelė'!C107</f>
        <v>R090008-050000-2214</v>
      </c>
      <c r="D106" s="35" t="str">
        <f>'[1]1 lentelė'!D107</f>
        <v>Komunalinių atliekų tvarkymo infrastruktūros plėtra Utenos rajone</v>
      </c>
      <c r="E106" s="58" t="s">
        <v>719</v>
      </c>
      <c r="F106" s="58" t="s">
        <v>745</v>
      </c>
      <c r="G106" s="58">
        <v>1123</v>
      </c>
      <c r="H106" s="58"/>
      <c r="I106" s="58"/>
      <c r="J106" s="58"/>
      <c r="K106" s="58"/>
      <c r="L106" s="58"/>
      <c r="M106" s="58"/>
      <c r="N106" s="58"/>
      <c r="O106" s="58"/>
      <c r="P106" s="32"/>
      <c r="Q106" s="75"/>
      <c r="R106" s="76"/>
      <c r="S106" s="76"/>
      <c r="T106" s="76"/>
      <c r="U106" s="76"/>
      <c r="V106" s="76"/>
      <c r="W106" s="46"/>
      <c r="X106" s="46"/>
      <c r="Y106" s="46"/>
      <c r="Z106" s="44"/>
      <c r="AA106" s="44"/>
      <c r="AB106" s="44"/>
      <c r="AC106" s="44"/>
      <c r="AD106" s="44"/>
      <c r="AE106" s="44"/>
      <c r="AF106" s="44"/>
      <c r="AG106" s="44"/>
    </row>
    <row r="107" spans="2:33" ht="76.5" x14ac:dyDescent="0.25">
      <c r="B107" s="71" t="str">
        <f>'[1]1 lentelė'!B108</f>
        <v>2.2.2.</v>
      </c>
      <c r="C107" s="71"/>
      <c r="D107" s="70" t="str">
        <f>'[1]1 lentelė'!D108</f>
        <v>Uždavinys: Gerinti regiono kraštovaizdžio tvarkymo ir apsaugos efektyvumą</v>
      </c>
      <c r="E107" s="71"/>
      <c r="F107" s="71"/>
      <c r="G107" s="71"/>
      <c r="H107" s="71"/>
      <c r="I107" s="71"/>
      <c r="J107" s="71"/>
      <c r="K107" s="71"/>
      <c r="L107" s="71"/>
      <c r="M107" s="71"/>
      <c r="N107" s="71"/>
      <c r="O107" s="71"/>
      <c r="P107" s="71"/>
      <c r="Q107" s="71"/>
      <c r="R107" s="71"/>
      <c r="S107" s="71"/>
      <c r="T107" s="71"/>
      <c r="U107" s="71"/>
      <c r="V107" s="71"/>
      <c r="W107" s="46"/>
      <c r="X107" s="46"/>
      <c r="Y107" s="46"/>
      <c r="Z107" s="44"/>
      <c r="AA107" s="44"/>
      <c r="AB107" s="44"/>
      <c r="AC107" s="44"/>
      <c r="AD107" s="44"/>
      <c r="AE107" s="44"/>
      <c r="AF107" s="44"/>
      <c r="AG107" s="44"/>
    </row>
    <row r="108" spans="2:33" ht="40.5" x14ac:dyDescent="0.25">
      <c r="B108" s="60" t="str">
        <f>'[1]1 lentelė'!B109</f>
        <v>2.2.2.1</v>
      </c>
      <c r="C108" s="60"/>
      <c r="D108" s="91" t="str">
        <f>'[1]1 lentelė'!D109</f>
        <v>Priemonė: Kraštovaizdžio apsauga</v>
      </c>
      <c r="E108" s="60"/>
      <c r="F108" s="60"/>
      <c r="G108" s="60"/>
      <c r="H108" s="60"/>
      <c r="I108" s="60"/>
      <c r="J108" s="60"/>
      <c r="K108" s="60"/>
      <c r="L108" s="60"/>
      <c r="M108" s="60"/>
      <c r="N108" s="60"/>
      <c r="O108" s="60"/>
      <c r="P108" s="60"/>
      <c r="Q108" s="60"/>
      <c r="R108" s="60"/>
      <c r="S108" s="60"/>
      <c r="T108" s="60"/>
      <c r="U108" s="60"/>
      <c r="V108" s="60"/>
      <c r="W108" s="46"/>
      <c r="X108" s="46"/>
      <c r="Y108" s="46"/>
      <c r="Z108" s="44"/>
      <c r="AA108" s="44"/>
      <c r="AB108" s="44"/>
      <c r="AC108" s="44"/>
      <c r="AD108" s="44"/>
      <c r="AE108" s="44"/>
      <c r="AF108" s="44"/>
      <c r="AG108" s="44"/>
    </row>
    <row r="109" spans="2:33" ht="153" x14ac:dyDescent="0.25">
      <c r="B109" s="35" t="str">
        <f>'[1]1 lentelė'!B110</f>
        <v>2.2.2.1.1</v>
      </c>
      <c r="C109" s="35" t="str">
        <f>'[1]1 lentelė'!C110</f>
        <v>R090019-380000-2215</v>
      </c>
      <c r="D109" s="35" t="str">
        <f>'[1]1 lentelė'!D110</f>
        <v>Zarasų rajono savivaldybės bendrųjų planų koregavimas</v>
      </c>
      <c r="E109" s="58" t="s">
        <v>700</v>
      </c>
      <c r="F109" s="58" t="s">
        <v>746</v>
      </c>
      <c r="G109" s="58">
        <v>2</v>
      </c>
      <c r="H109" s="58"/>
      <c r="I109" s="58"/>
      <c r="J109" s="58"/>
      <c r="K109" s="58"/>
      <c r="L109" s="58"/>
      <c r="M109" s="58"/>
      <c r="N109" s="58"/>
      <c r="O109" s="58"/>
      <c r="P109" s="32"/>
      <c r="Q109" s="75"/>
      <c r="R109" s="76"/>
      <c r="S109" s="76"/>
      <c r="T109" s="76"/>
      <c r="U109" s="76"/>
      <c r="V109" s="76"/>
      <c r="W109" s="46"/>
      <c r="X109" s="46"/>
      <c r="Y109" s="46"/>
      <c r="Z109" s="44"/>
      <c r="AA109" s="44"/>
      <c r="AB109" s="44"/>
      <c r="AC109" s="44"/>
      <c r="AD109" s="44"/>
      <c r="AE109" s="44"/>
      <c r="AF109" s="44"/>
      <c r="AG109" s="44"/>
    </row>
    <row r="110" spans="2:33" ht="111.75" customHeight="1" x14ac:dyDescent="0.25">
      <c r="B110" s="35" t="str">
        <f>'[1]1 lentelė'!B111</f>
        <v>2.2.2.1.2</v>
      </c>
      <c r="C110" s="35" t="str">
        <f>'[1]1 lentelė'!C111</f>
        <v>R090019-380000-2216</v>
      </c>
      <c r="D110" s="35" t="str">
        <f>'[1]1 lentelė'!D111</f>
        <v>Bešeimininkių apleistų, kraštovaizdį darkančių statinių likvidavimas Molėtų rajono savivaldybėje</v>
      </c>
      <c r="E110" s="32" t="s">
        <v>701</v>
      </c>
      <c r="F110" s="32" t="s">
        <v>747</v>
      </c>
      <c r="G110" s="32">
        <v>36</v>
      </c>
      <c r="H110" s="32" t="s">
        <v>725</v>
      </c>
      <c r="I110" s="32" t="s">
        <v>748</v>
      </c>
      <c r="J110" s="32">
        <v>2.98</v>
      </c>
      <c r="K110" s="58"/>
      <c r="L110" s="58"/>
      <c r="M110" s="58"/>
      <c r="N110" s="58"/>
      <c r="O110" s="58"/>
      <c r="P110" s="32"/>
      <c r="Q110" s="75"/>
      <c r="R110" s="76"/>
      <c r="S110" s="76"/>
      <c r="T110" s="76"/>
      <c r="U110" s="76"/>
      <c r="V110" s="76"/>
      <c r="W110" s="46"/>
      <c r="X110" s="333" t="s">
        <v>701</v>
      </c>
      <c r="Y110" s="333" t="s">
        <v>747</v>
      </c>
      <c r="Z110" s="333">
        <v>31</v>
      </c>
      <c r="AA110" s="333" t="s">
        <v>725</v>
      </c>
      <c r="AB110" s="333" t="s">
        <v>748</v>
      </c>
      <c r="AC110" s="333">
        <v>2.6</v>
      </c>
      <c r="AD110" s="44"/>
      <c r="AE110" s="44"/>
      <c r="AF110" s="44"/>
      <c r="AG110" s="44"/>
    </row>
    <row r="111" spans="2:33" ht="114.75" x14ac:dyDescent="0.25">
      <c r="B111" s="35" t="str">
        <f>'[1]1 lentelė'!B112</f>
        <v>2.2.2.1.3</v>
      </c>
      <c r="C111" s="35" t="str">
        <f>'[1]1 lentelė'!C112</f>
        <v>R090019-380000-2217</v>
      </c>
      <c r="D111" s="35" t="str">
        <f>'[1]1 lentelė'!D112</f>
        <v>Kraštovaizdžio formavimas ir ekologinės būklės gerinimas Zarasų rajone</v>
      </c>
      <c r="E111" s="58" t="s">
        <v>722</v>
      </c>
      <c r="F111" s="58" t="s">
        <v>749</v>
      </c>
      <c r="G111" s="58">
        <v>3</v>
      </c>
      <c r="H111" s="58" t="s">
        <v>725</v>
      </c>
      <c r="I111" s="58" t="s">
        <v>748</v>
      </c>
      <c r="J111" s="58">
        <v>28.9</v>
      </c>
      <c r="K111" s="72"/>
      <c r="L111" s="72"/>
      <c r="M111" s="72"/>
      <c r="N111" s="58"/>
      <c r="O111" s="58"/>
      <c r="P111" s="32"/>
      <c r="Q111" s="75"/>
      <c r="R111" s="76"/>
      <c r="S111" s="76"/>
      <c r="T111" s="76"/>
      <c r="U111" s="76"/>
      <c r="V111" s="76"/>
      <c r="W111" s="46"/>
      <c r="X111" s="46"/>
      <c r="Y111" s="46"/>
      <c r="Z111" s="44"/>
      <c r="AA111" s="44"/>
      <c r="AB111" s="44"/>
      <c r="AC111" s="44"/>
      <c r="AD111" s="44"/>
      <c r="AE111" s="44"/>
      <c r="AF111" s="44"/>
      <c r="AG111" s="44"/>
    </row>
    <row r="112" spans="2:33" ht="102" x14ac:dyDescent="0.25">
      <c r="B112" s="207" t="str">
        <f>'[1]1 lentelė'!B113</f>
        <v>2.2.2.1.4</v>
      </c>
      <c r="C112" s="35" t="str">
        <f>'[1]1 lentelė'!C113</f>
        <v>R090019-380000-2218</v>
      </c>
      <c r="D112" s="35" t="str">
        <f>'[1]1 lentelė'!D113</f>
        <v>Želdynų teritorijos formavimas ir kraštovaizdžio būklės gerinimas Utenos mieste</v>
      </c>
      <c r="E112" s="32" t="s">
        <v>722</v>
      </c>
      <c r="F112" s="32" t="s">
        <v>1415</v>
      </c>
      <c r="G112" s="32">
        <v>1</v>
      </c>
      <c r="H112" s="32" t="s">
        <v>725</v>
      </c>
      <c r="I112" s="32" t="s">
        <v>748</v>
      </c>
      <c r="J112" s="32">
        <v>8.6999999999999993</v>
      </c>
      <c r="K112" s="58"/>
      <c r="L112" s="58"/>
      <c r="M112" s="58"/>
      <c r="N112" s="58"/>
      <c r="O112" s="58"/>
      <c r="P112" s="32"/>
      <c r="Q112" s="75"/>
      <c r="R112" s="76"/>
      <c r="S112" s="76"/>
      <c r="T112" s="76"/>
      <c r="U112" s="76"/>
      <c r="V112" s="76"/>
      <c r="W112" s="46"/>
      <c r="X112" s="46"/>
      <c r="Y112" s="46" t="s">
        <v>722</v>
      </c>
      <c r="Z112" s="44" t="s">
        <v>1415</v>
      </c>
      <c r="AA112" s="44">
        <v>1</v>
      </c>
      <c r="AB112" s="44" t="s">
        <v>725</v>
      </c>
      <c r="AC112" s="44" t="s">
        <v>748</v>
      </c>
      <c r="AD112" s="44">
        <v>30</v>
      </c>
      <c r="AE112" s="44"/>
      <c r="AF112" s="44"/>
      <c r="AG112" s="44"/>
    </row>
    <row r="113" spans="2:33" ht="144" customHeight="1" x14ac:dyDescent="0.25">
      <c r="B113" s="35" t="str">
        <f>'[1]1 lentelė'!B114</f>
        <v>2.2.2.1.5</v>
      </c>
      <c r="C113" s="35" t="str">
        <f>'[1]1 lentelė'!C114</f>
        <v>R090019-380000-2219</v>
      </c>
      <c r="D113" s="35" t="str">
        <f>'[1]1 lentelė'!D114</f>
        <v>,,Anykščių rajono kraštovaizdžio estetinio potencialo didinimas likviduojant bešeimininkius  kraštovaizdį darkančius statinius“</v>
      </c>
      <c r="E113" s="58" t="s">
        <v>701</v>
      </c>
      <c r="F113" s="58" t="s">
        <v>1416</v>
      </c>
      <c r="G113" s="32">
        <v>68</v>
      </c>
      <c r="H113" s="32" t="s">
        <v>725</v>
      </c>
      <c r="I113" s="32" t="s">
        <v>748</v>
      </c>
      <c r="J113" s="32">
        <v>18.32</v>
      </c>
      <c r="K113" s="58"/>
      <c r="L113" s="58"/>
      <c r="M113" s="58"/>
      <c r="N113" s="58"/>
      <c r="O113" s="58"/>
      <c r="P113" s="32"/>
      <c r="Q113" s="75"/>
      <c r="R113" s="76"/>
      <c r="S113" s="76"/>
      <c r="T113" s="76"/>
      <c r="U113" s="76"/>
      <c r="V113" s="76"/>
      <c r="W113" s="46"/>
      <c r="X113" s="46"/>
      <c r="Y113" s="46"/>
      <c r="Z113" s="44"/>
      <c r="AA113" s="44"/>
      <c r="AB113" s="44"/>
      <c r="AC113" s="44"/>
      <c r="AD113" s="44"/>
      <c r="AE113" s="44"/>
      <c r="AF113" s="44"/>
      <c r="AG113" s="44"/>
    </row>
    <row r="114" spans="2:33" ht="94.5" customHeight="1" x14ac:dyDescent="0.25">
      <c r="B114" s="35" t="str">
        <f>'[1]1 lentelė'!B115</f>
        <v>2.2.2.1.6</v>
      </c>
      <c r="C114" s="35" t="str">
        <f>'[1]1 lentelė'!C115</f>
        <v>R090019-380000-2220</v>
      </c>
      <c r="D114" s="35" t="str">
        <f>'[1]1 lentelė'!D115</f>
        <v>Kraštovaizdžio formavimas ir ekologinės būklės gerinimas Anykščių rajono savivaldybėje</v>
      </c>
      <c r="E114" s="32" t="s">
        <v>725</v>
      </c>
      <c r="F114" s="32" t="s">
        <v>748</v>
      </c>
      <c r="G114" s="53">
        <v>3.04</v>
      </c>
      <c r="H114" s="32" t="s">
        <v>701</v>
      </c>
      <c r="I114" s="32" t="s">
        <v>747</v>
      </c>
      <c r="J114" s="32">
        <v>34</v>
      </c>
      <c r="K114" s="58"/>
      <c r="L114" s="58"/>
      <c r="M114" s="58"/>
      <c r="N114" s="58"/>
      <c r="O114" s="58"/>
      <c r="P114" s="32"/>
      <c r="Q114" s="75"/>
      <c r="R114" s="76"/>
      <c r="S114" s="76"/>
      <c r="T114" s="76"/>
      <c r="U114" s="76"/>
      <c r="V114" s="76"/>
      <c r="W114" s="46"/>
      <c r="X114" s="46"/>
      <c r="Y114" s="46"/>
      <c r="Z114" s="44"/>
      <c r="AA114" s="44"/>
      <c r="AB114" s="44"/>
      <c r="AC114" s="44"/>
      <c r="AD114" s="44"/>
      <c r="AE114" s="44"/>
      <c r="AF114" s="44"/>
      <c r="AG114" s="44"/>
    </row>
    <row r="115" spans="2:33" ht="132.75" customHeight="1" x14ac:dyDescent="0.25">
      <c r="B115" s="35" t="str">
        <f>'[1]1 lentelė'!B116</f>
        <v>2.2.2.1.7</v>
      </c>
      <c r="C115" s="35" t="str">
        <f>'[1]1 lentelė'!C116</f>
        <v>R090019-380000-2221</v>
      </c>
      <c r="D115" s="35" t="str">
        <f>'[1]1 lentelė'!D116</f>
        <v>Visagino miesto kraštovaizdžio formavimas, ekologinės būklės gerinimas ir želdynų tvarkymas (kūrimas) gamtinio karkaso teritorijose</v>
      </c>
      <c r="E115" s="58" t="s">
        <v>722</v>
      </c>
      <c r="F115" s="58" t="s">
        <v>1415</v>
      </c>
      <c r="G115" s="58">
        <v>1</v>
      </c>
      <c r="H115" s="58" t="s">
        <v>725</v>
      </c>
      <c r="I115" s="58" t="s">
        <v>748</v>
      </c>
      <c r="J115" s="58">
        <v>20</v>
      </c>
      <c r="K115" s="58"/>
      <c r="L115" s="58"/>
      <c r="M115" s="58"/>
      <c r="N115" s="58"/>
      <c r="O115" s="58"/>
      <c r="P115" s="32"/>
      <c r="Q115" s="75"/>
      <c r="R115" s="76"/>
      <c r="S115" s="76"/>
      <c r="T115" s="76"/>
      <c r="U115" s="76"/>
      <c r="V115" s="76"/>
      <c r="W115" s="46"/>
      <c r="X115" s="46"/>
      <c r="Y115" s="46"/>
      <c r="Z115" s="44"/>
      <c r="AA115" s="44"/>
      <c r="AB115" s="44"/>
      <c r="AC115" s="44"/>
      <c r="AD115" s="44"/>
      <c r="AE115" s="44"/>
      <c r="AF115" s="44"/>
      <c r="AG115" s="44"/>
    </row>
    <row r="116" spans="2:33" ht="145.5" customHeight="1" x14ac:dyDescent="0.25">
      <c r="B116" s="35" t="str">
        <f>'[1]1 lentelė'!B117</f>
        <v>2.2.2.1.8</v>
      </c>
      <c r="C116" s="35" t="str">
        <f>'[1]1 lentelė'!C117</f>
        <v>R090019-380000-2222</v>
      </c>
      <c r="D116" s="35" t="str">
        <f>'[1]1 lentelė'!D117</f>
        <v>Utenos rajono kraštovaizdžio estetinio potencialo didinimas likviduojant bešeimininkius apleistus, kraštovaizdį darkančius statinius</v>
      </c>
      <c r="E116" s="32" t="s">
        <v>701</v>
      </c>
      <c r="F116" s="32" t="s">
        <v>747</v>
      </c>
      <c r="G116" s="32">
        <v>6</v>
      </c>
      <c r="H116" s="32" t="s">
        <v>725</v>
      </c>
      <c r="I116" s="32" t="s">
        <v>748</v>
      </c>
      <c r="J116" s="32">
        <v>0.53</v>
      </c>
      <c r="K116" s="58"/>
      <c r="L116" s="58"/>
      <c r="M116" s="58"/>
      <c r="N116" s="58"/>
      <c r="O116" s="58"/>
      <c r="P116" s="32"/>
      <c r="Q116" s="75"/>
      <c r="R116" s="76"/>
      <c r="S116" s="76"/>
      <c r="T116" s="76"/>
      <c r="U116" s="76"/>
      <c r="V116" s="76"/>
      <c r="W116" s="33"/>
      <c r="X116" s="344" t="s">
        <v>1380</v>
      </c>
      <c r="Y116" s="333" t="s">
        <v>701</v>
      </c>
      <c r="Z116" s="333" t="s">
        <v>747</v>
      </c>
      <c r="AA116" s="333">
        <v>3</v>
      </c>
      <c r="AB116" s="333" t="s">
        <v>725</v>
      </c>
      <c r="AC116" s="333" t="s">
        <v>748</v>
      </c>
      <c r="AD116" s="333">
        <v>0.25</v>
      </c>
      <c r="AE116" s="44"/>
      <c r="AF116" s="44"/>
      <c r="AG116" s="44"/>
    </row>
    <row r="117" spans="2:33" ht="153" x14ac:dyDescent="0.25">
      <c r="B117" s="35" t="str">
        <f>'[1]1 lentelė'!B118</f>
        <v>2.2.2.1.9</v>
      </c>
      <c r="C117" s="35" t="str">
        <f>'[1]1 lentelė'!C118</f>
        <v>R090019-380000-2223</v>
      </c>
      <c r="D117" s="35" t="str">
        <f>'[1]1 lentelė'!D118</f>
        <v xml:space="preserve">Kraštovaizdžio planavimas, tvarkymas ir būklės gerinimas Molėtų rajone </v>
      </c>
      <c r="E117" s="58" t="s">
        <v>701</v>
      </c>
      <c r="F117" s="58" t="s">
        <v>747</v>
      </c>
      <c r="G117" s="32">
        <v>21</v>
      </c>
      <c r="H117" s="58" t="s">
        <v>700</v>
      </c>
      <c r="I117" s="58" t="s">
        <v>746</v>
      </c>
      <c r="J117" s="58">
        <v>1</v>
      </c>
      <c r="K117" s="32" t="s">
        <v>725</v>
      </c>
      <c r="L117" s="32" t="s">
        <v>748</v>
      </c>
      <c r="M117" s="32">
        <v>1.55</v>
      </c>
      <c r="N117" s="58"/>
      <c r="O117" s="58"/>
      <c r="P117" s="32"/>
      <c r="Q117" s="75"/>
      <c r="R117" s="76"/>
      <c r="S117" s="76"/>
      <c r="T117" s="76"/>
      <c r="U117" s="76"/>
      <c r="V117" s="76"/>
      <c r="W117" s="46"/>
      <c r="X117" s="46"/>
      <c r="Y117" s="46"/>
      <c r="Z117" s="44"/>
      <c r="AA117" s="44"/>
      <c r="AB117" s="44"/>
      <c r="AC117" s="44"/>
      <c r="AD117" s="44"/>
      <c r="AE117" s="44"/>
      <c r="AF117" s="44"/>
      <c r="AG117" s="44"/>
    </row>
    <row r="118" spans="2:33" ht="153" x14ac:dyDescent="0.25">
      <c r="B118" s="35" t="str">
        <f>'[1]1 lentelė'!B119</f>
        <v>2.2.2.1.10</v>
      </c>
      <c r="C118" s="35" t="str">
        <f>'[1]1 lentelė'!C119</f>
        <v>R090019-380000-2224</v>
      </c>
      <c r="D118" s="35" t="str">
        <f>'[1]1 lentelė'!D119</f>
        <v>Kraštovaizdžio formavimas, pažeistų žemių tvarkymas Ignalinos rajone ir bendrųjų planų tikslinimas</v>
      </c>
      <c r="E118" s="56" t="s">
        <v>700</v>
      </c>
      <c r="F118" s="56" t="s">
        <v>746</v>
      </c>
      <c r="G118" s="56">
        <v>2</v>
      </c>
      <c r="H118" s="56" t="s">
        <v>722</v>
      </c>
      <c r="I118" s="56" t="s">
        <v>1415</v>
      </c>
      <c r="J118" s="56">
        <v>1</v>
      </c>
      <c r="K118" s="29" t="s">
        <v>725</v>
      </c>
      <c r="L118" s="29" t="s">
        <v>748</v>
      </c>
      <c r="M118" s="29">
        <v>10</v>
      </c>
      <c r="N118" s="56" t="s">
        <v>728</v>
      </c>
      <c r="O118" s="56" t="s">
        <v>750</v>
      </c>
      <c r="P118" s="29">
        <v>2</v>
      </c>
      <c r="Q118" s="78" t="s">
        <v>701</v>
      </c>
      <c r="R118" s="78" t="s">
        <v>747</v>
      </c>
      <c r="S118" s="78">
        <v>8</v>
      </c>
      <c r="T118" s="74"/>
      <c r="U118" s="74"/>
      <c r="V118" s="74"/>
      <c r="W118" s="44"/>
      <c r="X118" s="44"/>
      <c r="Y118" s="44"/>
      <c r="Z118" s="44"/>
      <c r="AA118" s="44"/>
      <c r="AB118" s="44"/>
      <c r="AC118" s="44"/>
      <c r="AD118" s="44"/>
      <c r="AE118" s="44"/>
      <c r="AF118" s="44"/>
      <c r="AG118" s="44"/>
    </row>
    <row r="119" spans="2:33" ht="93" customHeight="1" x14ac:dyDescent="0.25">
      <c r="B119" s="35" t="str">
        <f>'[1]1 lentelė'!B120</f>
        <v>2.2.2.1.11</v>
      </c>
      <c r="C119" s="35" t="str">
        <f>'[1]1 lentelė'!C120</f>
        <v>R090019-380000-2225</v>
      </c>
      <c r="D119" s="35" t="str">
        <f>'[1]1 lentelė'!D120</f>
        <v>Bešeimininkių apleistų statinių likvidavimas Molėtų rajono savivaldybėje</v>
      </c>
      <c r="E119" s="265" t="s">
        <v>701</v>
      </c>
      <c r="F119" s="265" t="s">
        <v>747</v>
      </c>
      <c r="G119" s="265">
        <v>2</v>
      </c>
      <c r="H119" s="32" t="s">
        <v>725</v>
      </c>
      <c r="I119" s="32" t="s">
        <v>748</v>
      </c>
      <c r="J119" s="32">
        <v>0.3</v>
      </c>
      <c r="K119" s="32"/>
      <c r="L119" s="29"/>
      <c r="M119" s="29"/>
      <c r="N119" s="56"/>
      <c r="O119" s="56"/>
      <c r="P119" s="29"/>
      <c r="Q119" s="78"/>
      <c r="R119" s="78"/>
      <c r="S119" s="78"/>
      <c r="T119" s="74"/>
      <c r="U119" s="74"/>
      <c r="V119" s="74"/>
      <c r="W119" s="44"/>
      <c r="X119" s="44"/>
      <c r="Y119" s="44"/>
      <c r="Z119" s="44"/>
      <c r="AA119" s="44"/>
      <c r="AB119" s="44"/>
      <c r="AC119" s="44"/>
      <c r="AD119" s="44"/>
      <c r="AE119" s="44"/>
      <c r="AF119" s="44"/>
      <c r="AG119" s="44"/>
    </row>
    <row r="120" spans="2:33" ht="89.25" x14ac:dyDescent="0.25">
      <c r="B120" s="35" t="str">
        <f>'[1]1 lentelė'!B121</f>
        <v>2.2.2.1.12</v>
      </c>
      <c r="C120" s="35" t="str">
        <f>'[1]1 lentelė'!C121</f>
        <v>R090019-380000-2226</v>
      </c>
      <c r="D120" s="35" t="str">
        <f>'[1]1 lentelė'!D121</f>
        <v>Bešeimininkių apleistų pastatų likvidavimas Zarasų rajone</v>
      </c>
      <c r="E120" s="265" t="s">
        <v>701</v>
      </c>
      <c r="F120" s="265" t="s">
        <v>747</v>
      </c>
      <c r="G120" s="265">
        <v>5</v>
      </c>
      <c r="H120" s="32" t="s">
        <v>725</v>
      </c>
      <c r="I120" s="32" t="s">
        <v>748</v>
      </c>
      <c r="J120" s="32">
        <v>0.45800000000000002</v>
      </c>
      <c r="K120" s="32"/>
      <c r="L120" s="29"/>
      <c r="M120" s="29"/>
      <c r="N120" s="56"/>
      <c r="O120" s="56"/>
      <c r="P120" s="29"/>
      <c r="Q120" s="78"/>
      <c r="R120" s="78"/>
      <c r="S120" s="78"/>
      <c r="T120" s="74"/>
      <c r="U120" s="74"/>
      <c r="V120" s="74"/>
      <c r="W120" s="44"/>
      <c r="X120" s="44"/>
      <c r="Y120" s="44"/>
      <c r="Z120" s="44"/>
      <c r="AA120" s="44"/>
      <c r="AB120" s="44"/>
      <c r="AC120" s="44"/>
      <c r="AD120" s="44"/>
      <c r="AE120" s="44"/>
      <c r="AF120" s="44"/>
      <c r="AG120" s="44"/>
    </row>
    <row r="121" spans="2:33" ht="78.75" customHeight="1" x14ac:dyDescent="0.25">
      <c r="B121" s="67" t="str">
        <f>'[1]1 lentelė'!B122</f>
        <v xml:space="preserve">2.3 </v>
      </c>
      <c r="C121" s="67"/>
      <c r="D121" s="67" t="str">
        <f>'[1]1 lentelė'!D122</f>
        <v>Tikslas: Verslo ir investicijų skatinimas bei pramonės potencialo skatinimas</v>
      </c>
      <c r="E121" s="67"/>
      <c r="F121" s="343"/>
      <c r="G121" s="67"/>
      <c r="H121" s="67"/>
      <c r="I121" s="67"/>
      <c r="J121" s="67"/>
      <c r="K121" s="343"/>
      <c r="L121" s="67"/>
      <c r="M121" s="67"/>
      <c r="N121" s="67"/>
      <c r="O121" s="67"/>
      <c r="P121" s="51"/>
      <c r="Q121" s="343"/>
      <c r="R121" s="67"/>
      <c r="S121" s="67"/>
      <c r="T121" s="67"/>
      <c r="U121" s="67"/>
      <c r="V121" s="51"/>
      <c r="W121" s="44"/>
      <c r="X121" s="44"/>
      <c r="Y121" s="44"/>
      <c r="Z121" s="44"/>
      <c r="AA121" s="44"/>
      <c r="AB121" s="44"/>
      <c r="AC121" s="44"/>
      <c r="AD121" s="44"/>
      <c r="AE121" s="44"/>
      <c r="AF121" s="44"/>
      <c r="AG121" s="44"/>
    </row>
    <row r="122" spans="2:33" ht="90.75" customHeight="1" x14ac:dyDescent="0.25">
      <c r="B122" s="70" t="str">
        <f>'[1]1 lentelė'!B123</f>
        <v>2.3.1</v>
      </c>
      <c r="C122" s="70"/>
      <c r="D122" s="70" t="str">
        <f>'[1]1 lentelė'!D123</f>
        <v>Uždavinys: Sukurti infrastruktūrą ir palankią aplinką vidaus ir užsienio investuotojams</v>
      </c>
      <c r="E122" s="70"/>
      <c r="F122" s="70"/>
      <c r="G122" s="71"/>
      <c r="H122" s="70"/>
      <c r="I122" s="70"/>
      <c r="J122" s="71"/>
      <c r="K122" s="70"/>
      <c r="L122" s="70"/>
      <c r="M122" s="71"/>
      <c r="N122" s="70"/>
      <c r="O122" s="70"/>
      <c r="P122" s="49"/>
      <c r="Q122" s="70"/>
      <c r="R122" s="70"/>
      <c r="S122" s="71"/>
      <c r="T122" s="70"/>
      <c r="U122" s="70"/>
      <c r="V122" s="49"/>
      <c r="W122" s="44"/>
      <c r="X122" s="44"/>
      <c r="Y122" s="44"/>
      <c r="Z122" s="44"/>
      <c r="AA122" s="44"/>
      <c r="AB122" s="44"/>
      <c r="AC122" s="44"/>
      <c r="AD122" s="44"/>
      <c r="AE122" s="44"/>
      <c r="AF122" s="44"/>
      <c r="AG122" s="44"/>
    </row>
    <row r="123" spans="2:33" ht="201.75" customHeight="1" x14ac:dyDescent="0.25">
      <c r="B123" s="60" t="str">
        <f>'[1]1 lentelė'!B124</f>
        <v>2.3.1.1</v>
      </c>
      <c r="C123" s="60"/>
      <c r="D123" s="91" t="str">
        <f>'[1]1 lentelė'!D124</f>
        <v>Priemonė: Sukurti ir (arba) išplėtoti pramoninių parkų infrastruktūrą ir taip sudaryti sąlygas pritraukti tiesioginių užsienio investicijų sumanios specializacijos srityse (valstybinė SMART PARK LT)</v>
      </c>
      <c r="E123" s="60"/>
      <c r="F123" s="60"/>
      <c r="G123" s="60"/>
      <c r="H123" s="60"/>
      <c r="I123" s="60"/>
      <c r="J123" s="60"/>
      <c r="K123" s="60"/>
      <c r="L123" s="60"/>
      <c r="M123" s="60"/>
      <c r="N123" s="60"/>
      <c r="O123" s="60"/>
      <c r="P123" s="50"/>
      <c r="Q123" s="60"/>
      <c r="R123" s="60"/>
      <c r="S123" s="60"/>
      <c r="T123" s="60"/>
      <c r="U123" s="60"/>
      <c r="V123" s="50"/>
      <c r="W123" s="44"/>
      <c r="X123" s="44"/>
      <c r="Y123" s="44"/>
      <c r="Z123" s="44"/>
      <c r="AA123" s="44"/>
      <c r="AB123" s="44"/>
      <c r="AC123" s="44"/>
      <c r="AD123" s="44"/>
      <c r="AE123" s="44"/>
      <c r="AF123" s="44"/>
      <c r="AG123" s="44"/>
    </row>
    <row r="124" spans="2:33" ht="134.25" customHeight="1" x14ac:dyDescent="0.25">
      <c r="B124" s="35" t="str">
        <f>'[1]1 lentelė'!B125</f>
        <v>2.3.1.1.1</v>
      </c>
      <c r="C124" s="35" t="str">
        <f>'[1]1 lentelė'!C125</f>
        <v>R098830-360000-2301</v>
      </c>
      <c r="D124" s="35" t="str">
        <f>'[1]1 lentelė'!D125</f>
        <v>Investicijos į Visagine kuriamo pramoninio parko (SMART PARK) inžinerinius tinklus ir susisiekimo komunikacijas bei pramoninio parko rinkodarą</v>
      </c>
      <c r="E124" s="29" t="s">
        <v>729</v>
      </c>
      <c r="F124" s="29" t="s">
        <v>751</v>
      </c>
      <c r="G124" s="56">
        <v>9</v>
      </c>
      <c r="H124" s="56"/>
      <c r="I124" s="56"/>
      <c r="J124" s="56"/>
      <c r="K124" s="56"/>
      <c r="L124" s="56"/>
      <c r="M124" s="56"/>
      <c r="N124" s="56"/>
      <c r="O124" s="56"/>
      <c r="P124" s="29"/>
      <c r="Q124" s="54"/>
      <c r="R124" s="74"/>
      <c r="S124" s="74"/>
      <c r="T124" s="74"/>
      <c r="U124" s="74"/>
      <c r="V124" s="74"/>
      <c r="W124" s="44"/>
      <c r="X124" s="44"/>
      <c r="Y124" s="44"/>
      <c r="Z124" s="44"/>
      <c r="AA124" s="44"/>
      <c r="AB124" s="44"/>
      <c r="AC124" s="44"/>
      <c r="AD124" s="44"/>
      <c r="AE124" s="44"/>
      <c r="AF124" s="44"/>
      <c r="AG124" s="44"/>
    </row>
    <row r="125" spans="2:33" ht="54" customHeight="1" x14ac:dyDescent="0.25">
      <c r="B125" s="70" t="str">
        <f>'[1]1 lentelė'!B126</f>
        <v>2.3.2</v>
      </c>
      <c r="C125" s="70"/>
      <c r="D125" s="70" t="str">
        <f>'[1]1 lentelė'!D126</f>
        <v>Uždavinys: Skatinti bendruomeninį-socialinį verslą</v>
      </c>
      <c r="E125" s="70"/>
      <c r="F125" s="71"/>
      <c r="G125" s="71"/>
      <c r="H125" s="70"/>
      <c r="I125" s="70"/>
      <c r="J125" s="71"/>
      <c r="K125" s="71"/>
      <c r="L125" s="70"/>
      <c r="M125" s="70"/>
      <c r="N125" s="71"/>
      <c r="O125" s="71"/>
      <c r="P125" s="48"/>
      <c r="Q125" s="71"/>
      <c r="R125" s="70"/>
      <c r="S125" s="70"/>
      <c r="T125" s="71"/>
      <c r="U125" s="71"/>
      <c r="V125" s="48"/>
      <c r="W125" s="44"/>
      <c r="X125" s="44"/>
      <c r="Y125" s="44"/>
      <c r="Z125" s="44"/>
      <c r="AA125" s="44"/>
      <c r="AB125" s="44"/>
      <c r="AC125" s="44"/>
      <c r="AD125" s="44"/>
      <c r="AE125" s="44"/>
      <c r="AF125" s="44"/>
      <c r="AG125" s="44"/>
    </row>
    <row r="126" spans="2:33" ht="57.75" customHeight="1" x14ac:dyDescent="0.25">
      <c r="B126" s="60" t="str">
        <f>'[1]1 lentelė'!B127</f>
        <v>2.3.2.1</v>
      </c>
      <c r="C126" s="60"/>
      <c r="D126" s="91" t="str">
        <f>'[1]1 lentelė'!D127</f>
        <v>Priemonė: konkursinė, VVG strategijų įgyvendinimas</v>
      </c>
      <c r="E126" s="60"/>
      <c r="F126" s="60"/>
      <c r="G126" s="60"/>
      <c r="H126" s="60"/>
      <c r="I126" s="60"/>
      <c r="J126" s="60"/>
      <c r="K126" s="60"/>
      <c r="L126" s="60"/>
      <c r="M126" s="60"/>
      <c r="N126" s="60"/>
      <c r="O126" s="60"/>
      <c r="P126" s="50"/>
      <c r="Q126" s="60"/>
      <c r="R126" s="60"/>
      <c r="S126" s="60"/>
      <c r="T126" s="60"/>
      <c r="U126" s="60"/>
      <c r="V126" s="50"/>
      <c r="W126" s="44"/>
      <c r="X126" s="44"/>
      <c r="Y126" s="44"/>
      <c r="Z126" s="44"/>
      <c r="AA126" s="44"/>
      <c r="AB126" s="44"/>
      <c r="AC126" s="44"/>
      <c r="AD126" s="44"/>
      <c r="AE126" s="44"/>
      <c r="AF126" s="44"/>
      <c r="AG126" s="44"/>
    </row>
    <row r="127" spans="2:33" ht="93" customHeight="1" x14ac:dyDescent="0.25">
      <c r="B127" s="69" t="str">
        <f>'[1]1 lentelė'!B128</f>
        <v>2.3.3</v>
      </c>
      <c r="C127" s="69"/>
      <c r="D127" s="69" t="str">
        <f>'[1]1 lentelė'!D128</f>
        <v>Uždavinys:  Didinti regiono konkurencingumą skatinant tarpregioninį bendradarbiavimą ir partnerystę</v>
      </c>
      <c r="E127" s="69"/>
      <c r="F127" s="69"/>
      <c r="G127" s="68"/>
      <c r="H127" s="69"/>
      <c r="I127" s="69"/>
      <c r="J127" s="68"/>
      <c r="K127" s="69"/>
      <c r="L127" s="69"/>
      <c r="M127" s="68"/>
      <c r="N127" s="69"/>
      <c r="O127" s="69"/>
      <c r="P127" s="68"/>
      <c r="Q127" s="69"/>
      <c r="R127" s="69"/>
      <c r="S127" s="68"/>
      <c r="T127" s="69"/>
      <c r="U127" s="69"/>
      <c r="V127" s="68"/>
      <c r="W127" s="44"/>
      <c r="X127" s="44"/>
      <c r="Y127" s="44"/>
      <c r="Z127" s="44"/>
      <c r="AA127" s="44"/>
      <c r="AB127" s="44"/>
      <c r="AC127" s="44"/>
      <c r="AD127" s="44"/>
      <c r="AE127" s="44"/>
      <c r="AF127" s="44"/>
      <c r="AG127" s="44"/>
    </row>
    <row r="128" spans="2:33" ht="54.75" customHeight="1" x14ac:dyDescent="0.25">
      <c r="B128" s="60" t="str">
        <f>'[1]1 lentelė'!B129</f>
        <v>2.3.3.1</v>
      </c>
      <c r="C128" s="60"/>
      <c r="D128" s="91" t="str">
        <f>'[1]1 lentelė'!D129</f>
        <v>Priemonė: Skatinti užimtumą regione</v>
      </c>
      <c r="E128" s="60"/>
      <c r="F128" s="60"/>
      <c r="G128" s="60"/>
      <c r="H128" s="60"/>
      <c r="I128" s="60"/>
      <c r="J128" s="60"/>
      <c r="K128" s="60"/>
      <c r="L128" s="60"/>
      <c r="M128" s="60"/>
      <c r="N128" s="60"/>
      <c r="O128" s="60"/>
      <c r="P128" s="50"/>
      <c r="Q128" s="60"/>
      <c r="R128" s="60"/>
      <c r="S128" s="60"/>
      <c r="T128" s="60"/>
      <c r="U128" s="60"/>
      <c r="V128" s="50"/>
      <c r="W128" s="44"/>
      <c r="X128" s="44"/>
      <c r="Y128" s="44"/>
      <c r="Z128" s="44"/>
      <c r="AA128" s="44"/>
      <c r="AB128" s="44"/>
      <c r="AC128" s="44"/>
      <c r="AD128" s="44"/>
      <c r="AE128" s="44"/>
      <c r="AF128" s="44"/>
      <c r="AG128" s="44"/>
    </row>
    <row r="129" spans="2:33" ht="108" customHeight="1" x14ac:dyDescent="0.25">
      <c r="B129" s="35" t="str">
        <f>'[1]1 lentelė'!B130</f>
        <v>2.3.3.1.1</v>
      </c>
      <c r="C129" s="35" t="str">
        <f>'[1]1 lentelė'!C130</f>
        <v>R09B000-510000-2302</v>
      </c>
      <c r="D129" s="35" t="str">
        <f>'[1]1 lentelė'!D130</f>
        <v>Pasaulinio medicininių produktų gamintojo plėtros projektas                         (URPT 2018-06-07 sprendimas Nr.51/7S-31)</v>
      </c>
      <c r="E129" s="32" t="s">
        <v>752</v>
      </c>
      <c r="F129" s="32" t="s">
        <v>753</v>
      </c>
      <c r="G129" s="32">
        <v>200</v>
      </c>
      <c r="H129" s="58"/>
      <c r="I129" s="58"/>
      <c r="J129" s="58"/>
      <c r="K129" s="58"/>
      <c r="L129" s="58"/>
      <c r="M129" s="58"/>
      <c r="N129" s="58"/>
      <c r="O129" s="58"/>
      <c r="P129" s="32"/>
      <c r="Q129" s="54"/>
      <c r="R129" s="74"/>
      <c r="S129" s="74"/>
      <c r="T129" s="74"/>
      <c r="U129" s="74"/>
      <c r="V129" s="74"/>
      <c r="W129" s="44"/>
      <c r="X129" s="44"/>
      <c r="Y129" s="44"/>
      <c r="Z129" s="44"/>
      <c r="AA129" s="44"/>
      <c r="AB129" s="44"/>
      <c r="AC129" s="44"/>
      <c r="AD129" s="44"/>
      <c r="AE129" s="44"/>
      <c r="AF129" s="44"/>
      <c r="AG129" s="44"/>
    </row>
    <row r="130" spans="2:33" ht="57" customHeight="1" x14ac:dyDescent="0.25">
      <c r="B130" s="92" t="str">
        <f>'[1]1 lentelė'!B131</f>
        <v>3.</v>
      </c>
      <c r="C130" s="92"/>
      <c r="D130" s="92" t="str">
        <f>'[1]1 lentelė'!D131</f>
        <v>Prioritetas: Gyvenimo kokybės gerinimas</v>
      </c>
      <c r="E130" s="64"/>
      <c r="F130" s="64"/>
      <c r="G130" s="64"/>
      <c r="H130" s="64"/>
      <c r="I130" s="64"/>
      <c r="J130" s="64"/>
      <c r="K130" s="64"/>
      <c r="L130" s="64"/>
      <c r="M130" s="64"/>
      <c r="N130" s="64"/>
      <c r="O130" s="64"/>
      <c r="P130" s="65"/>
      <c r="Q130" s="65"/>
      <c r="R130" s="65"/>
      <c r="S130" s="65"/>
      <c r="T130" s="65"/>
      <c r="U130" s="65"/>
      <c r="V130" s="65"/>
      <c r="W130" s="44"/>
      <c r="X130" s="44"/>
      <c r="Y130" s="44"/>
      <c r="Z130" s="44"/>
      <c r="AA130" s="44"/>
      <c r="AB130" s="44"/>
      <c r="AC130" s="44"/>
      <c r="AD130" s="44"/>
      <c r="AE130" s="44"/>
      <c r="AF130" s="44"/>
      <c r="AG130" s="44"/>
    </row>
    <row r="131" spans="2:33" ht="69.75" customHeight="1" x14ac:dyDescent="0.25">
      <c r="B131" s="67" t="str">
        <f>'[1]1 lentelė'!B132</f>
        <v xml:space="preserve">3.1 </v>
      </c>
      <c r="C131" s="67"/>
      <c r="D131" s="67" t="str">
        <f>'[1]1 lentelė'!D132</f>
        <v>Tikslas: Mokymosi visą gyvenimą ir kūrybiškumo skatinimas</v>
      </c>
      <c r="E131" s="67"/>
      <c r="F131" s="343"/>
      <c r="G131" s="67"/>
      <c r="H131" s="67"/>
      <c r="I131" s="67"/>
      <c r="J131" s="67"/>
      <c r="K131" s="343"/>
      <c r="L131" s="67"/>
      <c r="M131" s="67"/>
      <c r="N131" s="67"/>
      <c r="O131" s="67"/>
      <c r="P131" s="51"/>
      <c r="Q131" s="51"/>
      <c r="R131" s="51"/>
      <c r="S131" s="51"/>
      <c r="T131" s="51"/>
      <c r="U131" s="51"/>
      <c r="V131" s="51"/>
      <c r="W131" s="44"/>
      <c r="X131" s="44"/>
      <c r="Y131" s="44"/>
      <c r="Z131" s="44"/>
      <c r="AA131" s="44"/>
      <c r="AB131" s="44"/>
      <c r="AC131" s="44"/>
      <c r="AD131" s="44"/>
      <c r="AE131" s="44"/>
      <c r="AF131" s="44"/>
      <c r="AG131" s="44"/>
    </row>
    <row r="132" spans="2:33" ht="81.75" customHeight="1" x14ac:dyDescent="0.25">
      <c r="B132" s="70" t="str">
        <f>'[1]1 lentelė'!B133</f>
        <v>3.1.1</v>
      </c>
      <c r="C132" s="70"/>
      <c r="D132" s="70" t="str">
        <f>'[1]1 lentelė'!D133</f>
        <v>Uždavinys: Gerinti švietimo kokybę, modernizuojant švietimo infrastruktūrą</v>
      </c>
      <c r="E132" s="70"/>
      <c r="F132" s="71"/>
      <c r="G132" s="71"/>
      <c r="H132" s="70"/>
      <c r="I132" s="70"/>
      <c r="J132" s="71"/>
      <c r="K132" s="71"/>
      <c r="L132" s="70"/>
      <c r="M132" s="70"/>
      <c r="N132" s="71"/>
      <c r="O132" s="71"/>
      <c r="P132" s="48"/>
      <c r="Q132" s="48"/>
      <c r="R132" s="48"/>
      <c r="S132" s="48"/>
      <c r="T132" s="48"/>
      <c r="U132" s="48"/>
      <c r="V132" s="48"/>
      <c r="W132" s="44"/>
      <c r="X132" s="44"/>
      <c r="Y132" s="44"/>
      <c r="Z132" s="44"/>
      <c r="AA132" s="44"/>
      <c r="AB132" s="44"/>
      <c r="AC132" s="44"/>
      <c r="AD132" s="44"/>
      <c r="AE132" s="44"/>
      <c r="AF132" s="44"/>
      <c r="AG132" s="44"/>
    </row>
    <row r="133" spans="2:33" ht="81" customHeight="1" x14ac:dyDescent="0.25">
      <c r="B133" s="60" t="str">
        <f>'[1]1 lentelė'!B134</f>
        <v>3.1.1.1</v>
      </c>
      <c r="C133" s="60"/>
      <c r="D133" s="91" t="str">
        <f>'[1]1 lentelė'!D134</f>
        <v>Priemonė: Ikimokyklinio ir priešmokyklinio ugdymo prieinamumo didinimas</v>
      </c>
      <c r="E133" s="60"/>
      <c r="F133" s="60"/>
      <c r="G133" s="60"/>
      <c r="H133" s="60"/>
      <c r="I133" s="60"/>
      <c r="J133" s="60"/>
      <c r="K133" s="60"/>
      <c r="L133" s="60"/>
      <c r="M133" s="60"/>
      <c r="N133" s="60"/>
      <c r="O133" s="60"/>
      <c r="P133" s="50"/>
      <c r="Q133" s="50"/>
      <c r="R133" s="50"/>
      <c r="S133" s="50"/>
      <c r="T133" s="50"/>
      <c r="U133" s="50"/>
      <c r="V133" s="50"/>
      <c r="W133" s="44"/>
      <c r="X133" s="44"/>
      <c r="Y133" s="44"/>
      <c r="Z133" s="44"/>
      <c r="AA133" s="44"/>
      <c r="AB133" s="44"/>
      <c r="AC133" s="44"/>
      <c r="AD133" s="44"/>
      <c r="AE133" s="44"/>
      <c r="AF133" s="44"/>
      <c r="AG133" s="44"/>
    </row>
    <row r="134" spans="2:33" ht="117.75" customHeight="1" x14ac:dyDescent="0.25">
      <c r="B134" s="35" t="str">
        <f>'[1]1 lentelė'!B136</f>
        <v>3.1.1.1.2</v>
      </c>
      <c r="C134" s="35" t="str">
        <f>'[1]1 lentelė'!C136</f>
        <v>R097705-230000-3102</v>
      </c>
      <c r="D134" s="35" t="str">
        <f>'[1]1 lentelė'!D136</f>
        <v>Utenos vaikų lopšelio darželio „Šaltinėlis“ vidaus patalpų modernizavimas</v>
      </c>
      <c r="E134" s="58" t="s">
        <v>1417</v>
      </c>
      <c r="F134" s="58" t="s">
        <v>1418</v>
      </c>
      <c r="G134" s="58">
        <v>1</v>
      </c>
      <c r="H134" s="58" t="s">
        <v>1419</v>
      </c>
      <c r="I134" s="58" t="s">
        <v>1420</v>
      </c>
      <c r="J134" s="58">
        <v>4</v>
      </c>
      <c r="K134" s="58" t="s">
        <v>1421</v>
      </c>
      <c r="L134" s="58" t="s">
        <v>1422</v>
      </c>
      <c r="M134" s="58">
        <v>190</v>
      </c>
      <c r="N134" s="32" t="s">
        <v>1423</v>
      </c>
      <c r="O134" s="32" t="s">
        <v>1424</v>
      </c>
      <c r="P134" s="32">
        <v>70</v>
      </c>
      <c r="Q134" s="54"/>
      <c r="R134" s="74"/>
      <c r="S134" s="74"/>
      <c r="T134" s="74"/>
      <c r="U134" s="74"/>
      <c r="V134" s="74"/>
      <c r="W134" s="44"/>
      <c r="X134" s="44"/>
      <c r="Y134" s="44"/>
      <c r="Z134" s="44"/>
      <c r="AA134" s="44"/>
      <c r="AB134" s="44"/>
      <c r="AC134" s="44"/>
      <c r="AD134" s="44"/>
      <c r="AE134" s="44"/>
      <c r="AF134" s="44"/>
      <c r="AG134" s="44"/>
    </row>
    <row r="135" spans="2:33" ht="117.75" customHeight="1" x14ac:dyDescent="0.25">
      <c r="B135" s="35" t="str">
        <f>'[1]1 lentelė'!B137</f>
        <v>3.1.1.1.3</v>
      </c>
      <c r="C135" s="35" t="str">
        <f>'[1]1 lentelė'!C137</f>
        <v>R097705-230000-3103</v>
      </c>
      <c r="D135" s="35" t="str">
        <f>'[1]1 lentelė'!D137</f>
        <v>Utenos vaikų lopšelio – darželio ,,Pasaka" vidaus patalpų modernizavimas</v>
      </c>
      <c r="E135" s="32" t="s">
        <v>1417</v>
      </c>
      <c r="F135" s="32" t="s">
        <v>1418</v>
      </c>
      <c r="G135" s="32">
        <v>1</v>
      </c>
      <c r="H135" s="32" t="s">
        <v>1419</v>
      </c>
      <c r="I135" s="32" t="s">
        <v>1420</v>
      </c>
      <c r="J135" s="32">
        <v>3</v>
      </c>
      <c r="K135" s="32" t="s">
        <v>1421</v>
      </c>
      <c r="L135" s="32" t="s">
        <v>1422</v>
      </c>
      <c r="M135" s="32">
        <v>210</v>
      </c>
      <c r="N135" s="32" t="s">
        <v>1423</v>
      </c>
      <c r="O135" s="32" t="s">
        <v>1424</v>
      </c>
      <c r="P135" s="32">
        <v>50</v>
      </c>
      <c r="Q135" s="54"/>
      <c r="R135" s="74"/>
      <c r="S135" s="74"/>
      <c r="T135" s="74"/>
      <c r="U135" s="74"/>
      <c r="V135" s="74"/>
      <c r="W135" s="44"/>
      <c r="X135" s="44"/>
      <c r="Y135" s="44"/>
      <c r="Z135" s="44"/>
      <c r="AA135" s="44"/>
      <c r="AB135" s="44"/>
      <c r="AC135" s="44"/>
      <c r="AD135" s="44"/>
      <c r="AE135" s="44"/>
      <c r="AF135" s="44"/>
      <c r="AG135" s="44"/>
    </row>
    <row r="136" spans="2:33" ht="55.5" customHeight="1" x14ac:dyDescent="0.25">
      <c r="B136" s="60" t="str">
        <f>'[1]1 lentelė'!B138</f>
        <v>3.1.1.2</v>
      </c>
      <c r="C136" s="60"/>
      <c r="D136" s="91" t="str">
        <f>'[1]1 lentelė'!D138</f>
        <v>Priemonė:  Mokyklų tinklo efektyvumo didinimas</v>
      </c>
      <c r="E136" s="60"/>
      <c r="F136" s="60"/>
      <c r="G136" s="60"/>
      <c r="H136" s="60"/>
      <c r="I136" s="60"/>
      <c r="J136" s="60"/>
      <c r="K136" s="60"/>
      <c r="L136" s="60"/>
      <c r="M136" s="60"/>
      <c r="N136" s="60"/>
      <c r="O136" s="60"/>
      <c r="P136" s="50"/>
      <c r="Q136" s="50"/>
      <c r="R136" s="50"/>
      <c r="S136" s="50"/>
      <c r="T136" s="50"/>
      <c r="U136" s="50"/>
      <c r="V136" s="50"/>
      <c r="W136" s="44"/>
      <c r="X136" s="44"/>
      <c r="Y136" s="44"/>
      <c r="Z136" s="44"/>
      <c r="AA136" s="44"/>
      <c r="AB136" s="44"/>
      <c r="AC136" s="44"/>
      <c r="AD136" s="44"/>
      <c r="AE136" s="44"/>
      <c r="AF136" s="44"/>
      <c r="AG136" s="44"/>
    </row>
    <row r="137" spans="2:33" ht="101.25" customHeight="1" x14ac:dyDescent="0.25">
      <c r="B137" s="35" t="str">
        <f>'[1]1 lentelė'!B139</f>
        <v>3.1.1.2.1</v>
      </c>
      <c r="C137" s="35" t="str">
        <f>'[1]1 lentelė'!C139</f>
        <v>R097724-220000-3103</v>
      </c>
      <c r="D137" s="35" t="str">
        <f>'[1]1 lentelė'!D139</f>
        <v xml:space="preserve">Anykščių miesto A.Vienuolio progimnazijos modernizavimas (vidaus erdvių remontas ir aprūpinimas įranga) </v>
      </c>
      <c r="E137" s="58" t="s">
        <v>1425</v>
      </c>
      <c r="F137" s="58" t="s">
        <v>1426</v>
      </c>
      <c r="G137" s="58">
        <v>1</v>
      </c>
      <c r="H137" s="58" t="s">
        <v>1421</v>
      </c>
      <c r="I137" s="58" t="s">
        <v>1422</v>
      </c>
      <c r="J137" s="58">
        <v>470</v>
      </c>
      <c r="K137" s="56"/>
      <c r="L137" s="56"/>
      <c r="M137" s="56"/>
      <c r="N137" s="56"/>
      <c r="O137" s="56"/>
      <c r="P137" s="29"/>
      <c r="Q137" s="54"/>
      <c r="R137" s="74"/>
      <c r="S137" s="74"/>
      <c r="T137" s="74"/>
      <c r="U137" s="74"/>
      <c r="V137" s="74"/>
      <c r="W137" s="44"/>
      <c r="X137" s="44"/>
      <c r="Y137" s="44"/>
      <c r="Z137" s="44"/>
      <c r="AA137" s="44"/>
      <c r="AB137" s="44"/>
      <c r="AC137" s="44"/>
      <c r="AD137" s="44"/>
      <c r="AE137" s="44"/>
      <c r="AF137" s="44"/>
      <c r="AG137" s="44"/>
    </row>
    <row r="138" spans="2:33" ht="110.25" customHeight="1" x14ac:dyDescent="0.25">
      <c r="B138" s="35" t="str">
        <f>'[1]1 lentelė'!B140</f>
        <v>3.1.1.2.2</v>
      </c>
      <c r="C138" s="35" t="str">
        <f>'[1]1 lentelė'!C140</f>
        <v>R097724-220000-3104</v>
      </c>
      <c r="D138" s="35" t="str">
        <f>'[1]1 lentelė'!D140</f>
        <v xml:space="preserve">„Kūrybiškumą skatinančių edukacinių erdvių kūrimas Molėtų gimnazijos vidaus patalpose“ </v>
      </c>
      <c r="E138" s="56" t="s">
        <v>1425</v>
      </c>
      <c r="F138" s="56" t="s">
        <v>1426</v>
      </c>
      <c r="G138" s="58">
        <v>1</v>
      </c>
      <c r="H138" s="56" t="s">
        <v>1421</v>
      </c>
      <c r="I138" s="56" t="s">
        <v>1422</v>
      </c>
      <c r="J138" s="29">
        <v>447</v>
      </c>
      <c r="K138" s="56"/>
      <c r="L138" s="56"/>
      <c r="M138" s="56"/>
      <c r="N138" s="56"/>
      <c r="O138" s="56"/>
      <c r="P138" s="29"/>
      <c r="Q138" s="54"/>
      <c r="R138" s="74"/>
      <c r="S138" s="74"/>
      <c r="T138" s="74"/>
      <c r="U138" s="74"/>
      <c r="V138" s="74"/>
      <c r="W138" s="44"/>
      <c r="X138" s="44"/>
      <c r="Y138" s="44"/>
      <c r="Z138" s="44"/>
      <c r="AA138" s="44"/>
      <c r="AB138" s="44"/>
      <c r="AC138" s="44"/>
      <c r="AD138" s="44"/>
      <c r="AE138" s="44"/>
      <c r="AF138" s="44"/>
      <c r="AG138" s="44"/>
    </row>
    <row r="139" spans="2:33" ht="91.5" customHeight="1" x14ac:dyDescent="0.25">
      <c r="B139" s="35" t="str">
        <f>'[1]1 lentelė'!B141</f>
        <v>3.1.1.2.3</v>
      </c>
      <c r="C139" s="35" t="str">
        <f>'[1]1 lentelė'!C141</f>
        <v>R097724-220000-3105</v>
      </c>
      <c r="D139" s="35" t="str">
        <f>'[1]1 lentelė'!D141</f>
        <v xml:space="preserve">„Edukacinių erdvių kūrimas Ignalinos Česlovo Kudabos progimnazijoje“ </v>
      </c>
      <c r="E139" s="56" t="s">
        <v>1425</v>
      </c>
      <c r="F139" s="56" t="s">
        <v>1426</v>
      </c>
      <c r="G139" s="58">
        <v>1</v>
      </c>
      <c r="H139" s="56" t="s">
        <v>1421</v>
      </c>
      <c r="I139" s="56" t="s">
        <v>1422</v>
      </c>
      <c r="J139" s="29">
        <v>500</v>
      </c>
      <c r="K139" s="56"/>
      <c r="L139" s="56"/>
      <c r="M139" s="56"/>
      <c r="N139" s="56"/>
      <c r="O139" s="56"/>
      <c r="P139" s="29"/>
      <c r="Q139" s="54"/>
      <c r="R139" s="74"/>
      <c r="S139" s="74"/>
      <c r="T139" s="74"/>
      <c r="U139" s="74"/>
      <c r="V139" s="74"/>
      <c r="W139" s="44"/>
      <c r="X139" s="44"/>
      <c r="Y139" s="44"/>
      <c r="Z139" s="44"/>
      <c r="AA139" s="44"/>
      <c r="AB139" s="44"/>
      <c r="AC139" s="44"/>
      <c r="AD139" s="44"/>
      <c r="AE139" s="44"/>
      <c r="AF139" s="44"/>
      <c r="AG139" s="44"/>
    </row>
    <row r="140" spans="2:33" ht="65.25" customHeight="1" x14ac:dyDescent="0.25">
      <c r="B140" s="70" t="str">
        <f>'[1]1 lentelė'!B142</f>
        <v>3.1.2</v>
      </c>
      <c r="C140" s="70"/>
      <c r="D140" s="70" t="str">
        <f>'[1]1 lentelė'!D142</f>
        <v>Uždavinys: Plėtoti neformalaus ugdymosi galimybes</v>
      </c>
      <c r="E140" s="70"/>
      <c r="F140" s="70"/>
      <c r="G140" s="70"/>
      <c r="H140" s="71"/>
      <c r="I140" s="71"/>
      <c r="J140" s="71"/>
      <c r="K140" s="70"/>
      <c r="L140" s="70"/>
      <c r="M140" s="71"/>
      <c r="N140" s="71"/>
      <c r="O140" s="71"/>
      <c r="P140" s="48"/>
      <c r="Q140" s="48"/>
      <c r="R140" s="48"/>
      <c r="S140" s="48"/>
      <c r="T140" s="48"/>
      <c r="U140" s="48"/>
      <c r="V140" s="48"/>
      <c r="W140" s="44"/>
      <c r="X140" s="44"/>
      <c r="Y140" s="44"/>
      <c r="Z140" s="44"/>
      <c r="AA140" s="44"/>
      <c r="AB140" s="44"/>
      <c r="AC140" s="44"/>
      <c r="AD140" s="44"/>
      <c r="AE140" s="44"/>
      <c r="AF140" s="44"/>
      <c r="AG140" s="44"/>
    </row>
    <row r="141" spans="2:33" ht="67.5" customHeight="1" x14ac:dyDescent="0.25">
      <c r="B141" s="60" t="str">
        <f>'[1]1 lentelė'!B143</f>
        <v>3.1.2.1</v>
      </c>
      <c r="C141" s="60"/>
      <c r="D141" s="91" t="str">
        <f>'[1]1 lentelė'!D143</f>
        <v>Priemonė: Neformaliojo švietimo infrastruktūros tobulinimas</v>
      </c>
      <c r="E141" s="60"/>
      <c r="F141" s="60"/>
      <c r="G141" s="60"/>
      <c r="H141" s="60"/>
      <c r="I141" s="60"/>
      <c r="J141" s="60"/>
      <c r="K141" s="60"/>
      <c r="L141" s="60"/>
      <c r="M141" s="60"/>
      <c r="N141" s="60"/>
      <c r="O141" s="60"/>
      <c r="P141" s="50"/>
      <c r="Q141" s="50"/>
      <c r="R141" s="50"/>
      <c r="S141" s="50"/>
      <c r="T141" s="50"/>
      <c r="U141" s="50"/>
      <c r="V141" s="50"/>
      <c r="W141" s="44"/>
      <c r="X141" s="44"/>
      <c r="Y141" s="44"/>
      <c r="Z141" s="44"/>
      <c r="AA141" s="44"/>
      <c r="AB141" s="44"/>
      <c r="AC141" s="44"/>
      <c r="AD141" s="44"/>
      <c r="AE141" s="44"/>
      <c r="AF141" s="44"/>
      <c r="AG141" s="44"/>
    </row>
    <row r="142" spans="2:33" ht="147" customHeight="1" x14ac:dyDescent="0.25">
      <c r="B142" s="35" t="str">
        <f>'[1]1 lentelė'!B144</f>
        <v>3.1.2.1.1</v>
      </c>
      <c r="C142" s="35" t="str">
        <f>'[1]1 lentelė'!C144</f>
        <v>R097725-240000-3106</v>
      </c>
      <c r="D142" s="35" t="str">
        <f>'[1]1 lentelė'!D144</f>
        <v xml:space="preserve">Vaikų ir jaunimo neformalaus ugdymosi galimybių plėtra Anykščių kūno kultūros ir sporto centrui priklausančiuose A. Vienuolio progimnazijos patalpose </v>
      </c>
      <c r="E142" s="56" t="s">
        <v>1427</v>
      </c>
      <c r="F142" s="56" t="s">
        <v>1428</v>
      </c>
      <c r="G142" s="58">
        <v>1</v>
      </c>
      <c r="H142" s="58" t="s">
        <v>1421</v>
      </c>
      <c r="I142" s="58" t="s">
        <v>1422</v>
      </c>
      <c r="J142" s="32">
        <v>355</v>
      </c>
      <c r="K142" s="56"/>
      <c r="L142" s="56"/>
      <c r="M142" s="56"/>
      <c r="N142" s="56"/>
      <c r="O142" s="56"/>
      <c r="P142" s="29"/>
      <c r="Q142" s="54"/>
      <c r="R142" s="74"/>
      <c r="S142" s="74"/>
      <c r="T142" s="74"/>
      <c r="U142" s="74"/>
      <c r="V142" s="74"/>
      <c r="W142" s="44"/>
      <c r="X142" s="44"/>
      <c r="Y142" s="44"/>
      <c r="Z142" s="44"/>
      <c r="AA142" s="44"/>
      <c r="AB142" s="44"/>
      <c r="AC142" s="44"/>
      <c r="AD142" s="44"/>
      <c r="AE142" s="44"/>
      <c r="AF142" s="44"/>
      <c r="AG142" s="44"/>
    </row>
    <row r="143" spans="2:33" ht="89.25" x14ac:dyDescent="0.25">
      <c r="B143" s="35" t="str">
        <f>'[1]1 lentelė'!B145</f>
        <v xml:space="preserve">3.1.2.1.2 </v>
      </c>
      <c r="C143" s="35" t="str">
        <f>'[1]1 lentelė'!C145</f>
        <v>R097725-243200-3107</v>
      </c>
      <c r="D143" s="35" t="str">
        <f>'[1]1 lentelė'!D145</f>
        <v>Zarasų sporto centro erdvių atnaujinimas</v>
      </c>
      <c r="E143" s="56" t="s">
        <v>1427</v>
      </c>
      <c r="F143" s="56" t="s">
        <v>1428</v>
      </c>
      <c r="G143" s="58">
        <v>1</v>
      </c>
      <c r="H143" s="58" t="s">
        <v>1421</v>
      </c>
      <c r="I143" s="58" t="s">
        <v>1422</v>
      </c>
      <c r="J143" s="58">
        <v>330</v>
      </c>
      <c r="K143" s="56"/>
      <c r="L143" s="56"/>
      <c r="M143" s="56"/>
      <c r="N143" s="56"/>
      <c r="O143" s="56"/>
      <c r="P143" s="29"/>
      <c r="Q143" s="54"/>
      <c r="R143" s="74"/>
      <c r="S143" s="74"/>
      <c r="T143" s="74"/>
      <c r="U143" s="74"/>
      <c r="V143" s="74"/>
      <c r="W143" s="44"/>
      <c r="X143" s="44"/>
      <c r="Y143" s="44"/>
      <c r="Z143" s="44"/>
      <c r="AA143" s="44"/>
      <c r="AB143" s="44"/>
      <c r="AC143" s="44"/>
      <c r="AD143" s="44"/>
      <c r="AE143" s="44"/>
      <c r="AF143" s="44"/>
      <c r="AG143" s="44"/>
    </row>
    <row r="144" spans="2:33" ht="52.5" customHeight="1" x14ac:dyDescent="0.25">
      <c r="B144" s="67" t="str">
        <f>'[1]1 lentelė'!B146</f>
        <v xml:space="preserve">3.2 </v>
      </c>
      <c r="C144" s="67"/>
      <c r="D144" s="67" t="str">
        <f>'[1]1 lentelė'!D146</f>
        <v>Tikslas: Viešųjų paslaugų prieinamumo didinimas</v>
      </c>
      <c r="E144" s="67"/>
      <c r="F144" s="67"/>
      <c r="G144" s="67"/>
      <c r="H144" s="343"/>
      <c r="I144" s="67"/>
      <c r="J144" s="67"/>
      <c r="K144" s="67"/>
      <c r="L144" s="343"/>
      <c r="M144" s="67"/>
      <c r="N144" s="67"/>
      <c r="O144" s="67"/>
      <c r="P144" s="51"/>
      <c r="Q144" s="51"/>
      <c r="R144" s="51"/>
      <c r="S144" s="51"/>
      <c r="T144" s="51"/>
      <c r="U144" s="51"/>
      <c r="V144" s="51"/>
      <c r="W144" s="44"/>
      <c r="X144" s="44"/>
      <c r="Y144" s="44"/>
      <c r="Z144" s="44"/>
      <c r="AA144" s="44"/>
      <c r="AB144" s="44"/>
      <c r="AC144" s="44"/>
      <c r="AD144" s="44"/>
      <c r="AE144" s="44"/>
      <c r="AF144" s="44"/>
      <c r="AG144" s="44"/>
    </row>
    <row r="145" spans="2:33" ht="78" customHeight="1" x14ac:dyDescent="0.25">
      <c r="B145" s="70" t="str">
        <f>'[1]1 lentelė'!B147</f>
        <v>3.2.1</v>
      </c>
      <c r="C145" s="70"/>
      <c r="D145" s="70" t="str">
        <f>'[1]1 lentelė'!D147</f>
        <v>Uždavinys: Užtikrinti kokybišką ir prieinamą sveikatos priežiūrą</v>
      </c>
      <c r="E145" s="70"/>
      <c r="F145" s="70"/>
      <c r="G145" s="70"/>
      <c r="H145" s="71"/>
      <c r="I145" s="71"/>
      <c r="J145" s="71"/>
      <c r="K145" s="70"/>
      <c r="L145" s="70"/>
      <c r="M145" s="71"/>
      <c r="N145" s="71"/>
      <c r="O145" s="71"/>
      <c r="P145" s="48"/>
      <c r="Q145" s="48"/>
      <c r="R145" s="48"/>
      <c r="S145" s="48"/>
      <c r="T145" s="48"/>
      <c r="U145" s="48"/>
      <c r="V145" s="48"/>
      <c r="W145" s="44"/>
      <c r="X145" s="44"/>
      <c r="Y145" s="44"/>
      <c r="Z145" s="44"/>
      <c r="AA145" s="44"/>
      <c r="AB145" s="44"/>
      <c r="AC145" s="44"/>
      <c r="AD145" s="44"/>
      <c r="AE145" s="44"/>
      <c r="AF145" s="44"/>
      <c r="AG145" s="44"/>
    </row>
    <row r="146" spans="2:33" ht="92.25" customHeight="1" x14ac:dyDescent="0.25">
      <c r="B146" s="60" t="str">
        <f>'[1]1 lentelė'!B148</f>
        <v>3.2.1.1</v>
      </c>
      <c r="C146" s="60"/>
      <c r="D146" s="91" t="str">
        <f>'[1]1 lentelė'!D148</f>
        <v>Priemonė: Pirminės asmens ir visuomenės sveikatos priežiūros veiklos efektyvumo didinimas</v>
      </c>
      <c r="E146" s="60"/>
      <c r="F146" s="60"/>
      <c r="G146" s="60"/>
      <c r="H146" s="60"/>
      <c r="I146" s="60"/>
      <c r="J146" s="60"/>
      <c r="K146" s="60"/>
      <c r="L146" s="60"/>
      <c r="M146" s="60"/>
      <c r="N146" s="60"/>
      <c r="O146" s="60"/>
      <c r="P146" s="50"/>
      <c r="Q146" s="50"/>
      <c r="R146" s="50"/>
      <c r="S146" s="50"/>
      <c r="T146" s="50"/>
      <c r="U146" s="50"/>
      <c r="V146" s="50"/>
      <c r="W146" s="44"/>
      <c r="X146" s="44"/>
      <c r="Y146" s="44"/>
      <c r="Z146" s="44"/>
      <c r="AA146" s="44"/>
      <c r="AB146" s="44"/>
      <c r="AC146" s="44"/>
      <c r="AD146" s="44"/>
      <c r="AE146" s="44"/>
      <c r="AF146" s="44"/>
      <c r="AG146" s="44"/>
    </row>
    <row r="147" spans="2:33" ht="191.25" x14ac:dyDescent="0.25">
      <c r="B147" s="35" t="str">
        <f>'[1]1 lentelė'!B149</f>
        <v>3.2.1.1.1</v>
      </c>
      <c r="C147" s="35" t="str">
        <f>'[1]1 lentelė'!C149</f>
        <v>R096609-270000-3236</v>
      </c>
      <c r="D147" s="35" t="str">
        <f>'[1]1 lentelė'!D149</f>
        <v>Anykščių rajono savivaldybės gyventojų sveikatos stiprinimas gerinant pirminės sveikatos priežiūros paslaugų prieinamumą ir kokybę</v>
      </c>
      <c r="E147" s="62" t="s">
        <v>1429</v>
      </c>
      <c r="F147" s="62" t="s">
        <v>1430</v>
      </c>
      <c r="G147" s="62">
        <v>21285</v>
      </c>
      <c r="H147" s="62" t="s">
        <v>1431</v>
      </c>
      <c r="I147" s="62" t="s">
        <v>1432</v>
      </c>
      <c r="J147" s="62">
        <v>1</v>
      </c>
      <c r="K147" s="62"/>
      <c r="L147" s="62"/>
      <c r="M147" s="62"/>
      <c r="N147" s="62"/>
      <c r="O147" s="62"/>
      <c r="P147" s="35"/>
      <c r="Q147" s="54"/>
      <c r="R147" s="74"/>
      <c r="S147" s="74"/>
      <c r="T147" s="74"/>
      <c r="U147" s="74"/>
      <c r="V147" s="74"/>
      <c r="W147" s="44"/>
      <c r="X147" s="44"/>
      <c r="Y147" s="44"/>
      <c r="Z147" s="44"/>
      <c r="AA147" s="44"/>
      <c r="AB147" s="44"/>
      <c r="AC147" s="44"/>
      <c r="AD147" s="44"/>
      <c r="AE147" s="44"/>
      <c r="AF147" s="44"/>
      <c r="AG147" s="44"/>
    </row>
    <row r="148" spans="2:33" ht="191.25" x14ac:dyDescent="0.25">
      <c r="B148" s="35" t="str">
        <f>'[1]1 lentelė'!B150</f>
        <v>3.2.1.1.2</v>
      </c>
      <c r="C148" s="35" t="str">
        <f>'[1]1 lentelė'!C150</f>
        <v>R096609-270000-3237</v>
      </c>
      <c r="D148" s="35" t="str">
        <f>'[1]1 lentelė'!D150</f>
        <v>Pirminės sveikatos paslaugų gerinimas VšĮ Ignalinos rajono poliklinikoje</v>
      </c>
      <c r="E148" s="62" t="s">
        <v>1429</v>
      </c>
      <c r="F148" s="62" t="s">
        <v>1430</v>
      </c>
      <c r="G148" s="35">
        <v>6931</v>
      </c>
      <c r="H148" s="62" t="s">
        <v>1431</v>
      </c>
      <c r="I148" s="62" t="s">
        <v>1432</v>
      </c>
      <c r="J148" s="62">
        <v>1</v>
      </c>
      <c r="K148" s="58"/>
      <c r="L148" s="58"/>
      <c r="M148" s="58"/>
      <c r="N148" s="58"/>
      <c r="O148" s="58"/>
      <c r="P148" s="32"/>
      <c r="Q148" s="54"/>
      <c r="R148" s="74"/>
      <c r="S148" s="74"/>
      <c r="T148" s="74"/>
      <c r="U148" s="74"/>
      <c r="V148" s="74"/>
      <c r="W148" s="44"/>
      <c r="X148" s="44"/>
      <c r="Y148" s="44"/>
      <c r="Z148" s="44"/>
      <c r="AA148" s="44"/>
      <c r="AB148" s="44"/>
      <c r="AC148" s="44"/>
      <c r="AD148" s="44"/>
      <c r="AE148" s="44"/>
      <c r="AF148" s="44"/>
      <c r="AG148" s="44"/>
    </row>
    <row r="149" spans="2:33" ht="191.25" x14ac:dyDescent="0.25">
      <c r="B149" s="35" t="str">
        <f>'[1]1 lentelė'!B151</f>
        <v>3.2.1.1.3</v>
      </c>
      <c r="C149" s="35" t="str">
        <f>'[1]1 lentelė'!C151</f>
        <v>R096609-270000-3238</v>
      </c>
      <c r="D149" s="35" t="str">
        <f>'[1]1 lentelė'!D151</f>
        <v>UAB „Ignalinos sveikatos centras“ pirminės asmens sveikatos priežiūros paslaugų teikimo efektyvumo didinimas</v>
      </c>
      <c r="E149" s="32" t="s">
        <v>1429</v>
      </c>
      <c r="F149" s="32" t="s">
        <v>1430</v>
      </c>
      <c r="G149" s="32">
        <v>6363</v>
      </c>
      <c r="H149" s="32" t="s">
        <v>1431</v>
      </c>
      <c r="I149" s="32" t="s">
        <v>1432</v>
      </c>
      <c r="J149" s="32">
        <v>1</v>
      </c>
      <c r="K149" s="58"/>
      <c r="L149" s="58"/>
      <c r="M149" s="58"/>
      <c r="N149" s="58"/>
      <c r="O149" s="58"/>
      <c r="P149" s="32"/>
      <c r="Q149" s="54"/>
      <c r="R149" s="74"/>
      <c r="S149" s="74"/>
      <c r="T149" s="74"/>
      <c r="U149" s="74"/>
      <c r="V149" s="74"/>
      <c r="W149" s="44"/>
      <c r="X149" s="44"/>
      <c r="Y149" s="44"/>
      <c r="Z149" s="44"/>
      <c r="AA149" s="44"/>
      <c r="AB149" s="44"/>
      <c r="AC149" s="44"/>
      <c r="AD149" s="44"/>
      <c r="AE149" s="44"/>
      <c r="AF149" s="44"/>
      <c r="AG149" s="44"/>
    </row>
    <row r="150" spans="2:33" ht="191.25" x14ac:dyDescent="0.25">
      <c r="B150" s="35" t="str">
        <f>'[1]1 lentelė'!B152</f>
        <v>3.2.1.1.4</v>
      </c>
      <c r="C150" s="35" t="str">
        <f>'[1]1 lentelė'!C152</f>
        <v>R096609-270000-3239</v>
      </c>
      <c r="D150" s="35" t="str">
        <f>'[1]1 lentelė'!D152</f>
        <v>Molėtų r. pirminės sveikatos priežiūros centro veiklos efektyvumo didinimas</v>
      </c>
      <c r="E150" s="58" t="s">
        <v>1429</v>
      </c>
      <c r="F150" s="58" t="s">
        <v>1430</v>
      </c>
      <c r="G150" s="32">
        <v>15617</v>
      </c>
      <c r="H150" s="58" t="s">
        <v>1431</v>
      </c>
      <c r="I150" s="58" t="s">
        <v>1432</v>
      </c>
      <c r="J150" s="58">
        <v>1</v>
      </c>
      <c r="K150" s="58"/>
      <c r="L150" s="58"/>
      <c r="M150" s="58"/>
      <c r="N150" s="58"/>
      <c r="O150" s="58"/>
      <c r="P150" s="32"/>
      <c r="Q150" s="54"/>
      <c r="R150" s="74"/>
      <c r="S150" s="74"/>
      <c r="T150" s="74"/>
      <c r="U150" s="74"/>
      <c r="V150" s="74"/>
      <c r="W150" s="44"/>
      <c r="X150" s="44"/>
      <c r="Y150" s="44"/>
      <c r="Z150" s="44"/>
      <c r="AA150" s="44"/>
      <c r="AB150" s="44"/>
      <c r="AC150" s="44"/>
      <c r="AD150" s="44"/>
      <c r="AE150" s="44"/>
      <c r="AF150" s="44"/>
      <c r="AG150" s="44"/>
    </row>
    <row r="151" spans="2:33" ht="191.25" x14ac:dyDescent="0.25">
      <c r="B151" s="35" t="str">
        <f>'[1]1 lentelė'!B153</f>
        <v>3.2.1.1.5</v>
      </c>
      <c r="C151" s="35" t="str">
        <f>'[1]1 lentelė'!C153</f>
        <v>R096609-270000-3240</v>
      </c>
      <c r="D151" s="35" t="str">
        <f>'[1]1 lentelė'!D153</f>
        <v>Pirminės asmens sveikatos priežiūros veiklos efektyvumo didinimas Utenos rajone</v>
      </c>
      <c r="E151" s="58" t="s">
        <v>1429</v>
      </c>
      <c r="F151" s="58" t="s">
        <v>1430</v>
      </c>
      <c r="G151" s="58">
        <v>19722</v>
      </c>
      <c r="H151" s="58" t="s">
        <v>1431</v>
      </c>
      <c r="I151" s="58" t="s">
        <v>1432</v>
      </c>
      <c r="J151" s="58">
        <v>1</v>
      </c>
      <c r="K151" s="58"/>
      <c r="L151" s="58"/>
      <c r="M151" s="58"/>
      <c r="N151" s="58"/>
      <c r="O151" s="58"/>
      <c r="P151" s="32"/>
      <c r="Q151" s="54"/>
      <c r="R151" s="74"/>
      <c r="S151" s="74"/>
      <c r="T151" s="74"/>
      <c r="U151" s="74"/>
      <c r="V151" s="74"/>
      <c r="W151" s="44"/>
      <c r="X151" s="44"/>
      <c r="Y151" s="44"/>
      <c r="Z151" s="44"/>
      <c r="AA151" s="44"/>
      <c r="AB151" s="44"/>
      <c r="AC151" s="44"/>
      <c r="AD151" s="44"/>
      <c r="AE151" s="44"/>
      <c r="AF151" s="44"/>
      <c r="AG151" s="44"/>
    </row>
    <row r="152" spans="2:33" ht="191.25" x14ac:dyDescent="0.25">
      <c r="B152" s="35" t="str">
        <f>'[1]1 lentelė'!B154</f>
        <v>3.2.1.1.6</v>
      </c>
      <c r="C152" s="35" t="str">
        <f>'[1]1 lentelė'!C154</f>
        <v>R096609-270000-3241</v>
      </c>
      <c r="D152" s="35" t="str">
        <f>'[1]1 lentelė'!D154</f>
        <v>UAB "Dilina" teikiamų paslaugų efektyvumo didinimas</v>
      </c>
      <c r="E152" s="32" t="s">
        <v>1429</v>
      </c>
      <c r="F152" s="32" t="s">
        <v>1430</v>
      </c>
      <c r="G152" s="32">
        <v>1615</v>
      </c>
      <c r="H152" s="32" t="s">
        <v>1431</v>
      </c>
      <c r="I152" s="32" t="s">
        <v>1432</v>
      </c>
      <c r="J152" s="32">
        <v>1</v>
      </c>
      <c r="K152" s="58"/>
      <c r="L152" s="58"/>
      <c r="M152" s="58"/>
      <c r="N152" s="58"/>
      <c r="O152" s="58"/>
      <c r="P152" s="32"/>
      <c r="Q152" s="54"/>
      <c r="R152" s="74"/>
      <c r="S152" s="74"/>
      <c r="T152" s="74"/>
      <c r="U152" s="74"/>
      <c r="V152" s="74"/>
      <c r="W152" s="44"/>
      <c r="X152" s="44"/>
      <c r="Y152" s="44"/>
      <c r="Z152" s="44"/>
      <c r="AA152" s="44"/>
      <c r="AB152" s="44"/>
      <c r="AC152" s="44"/>
      <c r="AD152" s="44"/>
      <c r="AE152" s="44"/>
      <c r="AF152" s="44"/>
      <c r="AG152" s="44"/>
    </row>
    <row r="153" spans="2:33" ht="191.25" x14ac:dyDescent="0.25">
      <c r="B153" s="35" t="str">
        <f>'[1]1 lentelė'!B155</f>
        <v>3.2.1.1.7</v>
      </c>
      <c r="C153" s="35" t="str">
        <f>'[1]1 lentelė'!C155</f>
        <v>R096609-270000-3242</v>
      </c>
      <c r="D153" s="35" t="str">
        <f>'[1]1 lentelė'!D155</f>
        <v>Pirminės asmens sveikatos priežiūros paslaugų kokybės ir prieinamumo gerinimas Zarasų rajono savivaldybėje</v>
      </c>
      <c r="E153" s="58" t="s">
        <v>1429</v>
      </c>
      <c r="F153" s="58" t="s">
        <v>1430</v>
      </c>
      <c r="G153" s="32">
        <v>13690</v>
      </c>
      <c r="H153" s="58" t="s">
        <v>1431</v>
      </c>
      <c r="I153" s="58" t="s">
        <v>1432</v>
      </c>
      <c r="J153" s="58">
        <v>1</v>
      </c>
      <c r="K153" s="58"/>
      <c r="L153" s="58"/>
      <c r="M153" s="58"/>
      <c r="N153" s="58"/>
      <c r="O153" s="58"/>
      <c r="P153" s="32"/>
      <c r="Q153" s="54"/>
      <c r="R153" s="74"/>
      <c r="S153" s="74"/>
      <c r="T153" s="74"/>
      <c r="U153" s="74"/>
      <c r="V153" s="74"/>
      <c r="W153" s="44"/>
      <c r="X153" s="44"/>
      <c r="Y153" s="44"/>
      <c r="Z153" s="44"/>
      <c r="AA153" s="44"/>
      <c r="AB153" s="44"/>
      <c r="AC153" s="44"/>
      <c r="AD153" s="44"/>
      <c r="AE153" s="44"/>
      <c r="AF153" s="44"/>
      <c r="AG153" s="44"/>
    </row>
    <row r="154" spans="2:33" ht="191.25" x14ac:dyDescent="0.25">
      <c r="B154" s="35" t="str">
        <f>'[1]1 lentelė'!B156</f>
        <v>3.2.1.1.8</v>
      </c>
      <c r="C154" s="35" t="str">
        <f>'[1]1 lentelė'!C156</f>
        <v>R096609-270000-3243</v>
      </c>
      <c r="D154" s="35" t="str">
        <f>'[1]1 lentelė'!D156</f>
        <v>Pirminės asmens sveikatos priežiūros veiklos efektyvumo didinimas VšĮ Visagino  pirminės sveikatos priežiūros centre</v>
      </c>
      <c r="E154" s="58" t="s">
        <v>1429</v>
      </c>
      <c r="F154" s="58" t="s">
        <v>1430</v>
      </c>
      <c r="G154" s="32">
        <v>12890</v>
      </c>
      <c r="H154" s="58" t="s">
        <v>1431</v>
      </c>
      <c r="I154" s="58" t="s">
        <v>1432</v>
      </c>
      <c r="J154" s="58">
        <v>1</v>
      </c>
      <c r="K154" s="58"/>
      <c r="L154" s="58"/>
      <c r="M154" s="58"/>
      <c r="N154" s="58"/>
      <c r="O154" s="58"/>
      <c r="P154" s="32"/>
      <c r="Q154" s="54"/>
      <c r="R154" s="74"/>
      <c r="S154" s="74"/>
      <c r="T154" s="74"/>
      <c r="U154" s="74"/>
      <c r="V154" s="74"/>
      <c r="W154" s="44"/>
      <c r="X154" s="44"/>
      <c r="Y154" s="44"/>
      <c r="Z154" s="44"/>
      <c r="AA154" s="44"/>
      <c r="AB154" s="44"/>
      <c r="AC154" s="44"/>
      <c r="AD154" s="44"/>
      <c r="AE154" s="44"/>
      <c r="AF154" s="44"/>
      <c r="AG154" s="44"/>
    </row>
    <row r="155" spans="2:33" ht="193.5" customHeight="1" x14ac:dyDescent="0.25">
      <c r="B155" s="35" t="str">
        <f>'[1]1 lentelė'!B157</f>
        <v>3.2.1.1.9</v>
      </c>
      <c r="C155" s="35" t="str">
        <f>'[1]1 lentelė'!C157</f>
        <v>R096609-270000-3244</v>
      </c>
      <c r="D155" s="35" t="str">
        <f>'[1]1 lentelė'!D157</f>
        <v>Asmens sveikatos priežiūros  kokybės gerinimas Utenos rajono gyventojams</v>
      </c>
      <c r="E155" s="32" t="s">
        <v>1429</v>
      </c>
      <c r="F155" s="32" t="s">
        <v>1430</v>
      </c>
      <c r="G155" s="32">
        <v>1576</v>
      </c>
      <c r="H155" s="32" t="s">
        <v>1431</v>
      </c>
      <c r="I155" s="32" t="s">
        <v>1432</v>
      </c>
      <c r="J155" s="32">
        <v>1</v>
      </c>
      <c r="K155" s="58"/>
      <c r="L155" s="58"/>
      <c r="M155" s="58"/>
      <c r="N155" s="58"/>
      <c r="O155" s="58"/>
      <c r="P155" s="32"/>
      <c r="Q155" s="54"/>
      <c r="R155" s="74"/>
      <c r="S155" s="74"/>
      <c r="T155" s="74"/>
      <c r="U155" s="74"/>
      <c r="V155" s="74"/>
      <c r="W155" s="44"/>
      <c r="X155" s="44"/>
      <c r="Y155" s="44"/>
      <c r="Z155" s="44"/>
      <c r="AA155" s="44"/>
      <c r="AB155" s="44"/>
      <c r="AC155" s="44"/>
      <c r="AD155" s="44"/>
      <c r="AE155" s="44"/>
      <c r="AF155" s="44"/>
      <c r="AG155" s="44"/>
    </row>
    <row r="156" spans="2:33" ht="162.75" customHeight="1" x14ac:dyDescent="0.25">
      <c r="B156" s="60" t="str">
        <f>'[1]1 lentelė'!B158</f>
        <v>3.2.1.2</v>
      </c>
      <c r="C156" s="60"/>
      <c r="D156" s="91" t="str">
        <f>'[1]1 lentelė'!D158</f>
        <v>Priemonė: Priemonių, gerinančių ambulatorinių sveikatos priežiūros paslaugų prieinamumą tuberkulioze sergantiems asmenims, įgyvendinimas</v>
      </c>
      <c r="E156" s="60"/>
      <c r="F156" s="60"/>
      <c r="G156" s="60"/>
      <c r="H156" s="60"/>
      <c r="I156" s="60"/>
      <c r="J156" s="60"/>
      <c r="K156" s="60"/>
      <c r="L156" s="60"/>
      <c r="M156" s="60"/>
      <c r="N156" s="60"/>
      <c r="O156" s="60"/>
      <c r="P156" s="50"/>
      <c r="Q156" s="50"/>
      <c r="R156" s="50"/>
      <c r="S156" s="50"/>
      <c r="T156" s="50"/>
      <c r="U156" s="50"/>
      <c r="V156" s="50"/>
      <c r="W156" s="44"/>
      <c r="X156" s="44"/>
      <c r="Y156" s="44"/>
      <c r="Z156" s="44"/>
      <c r="AA156" s="44"/>
      <c r="AB156" s="44"/>
      <c r="AC156" s="44"/>
      <c r="AD156" s="44"/>
      <c r="AE156" s="44"/>
      <c r="AF156" s="44"/>
      <c r="AG156" s="44"/>
    </row>
    <row r="157" spans="2:33" ht="228.75" customHeight="1" x14ac:dyDescent="0.25">
      <c r="B157" s="35" t="str">
        <f>'[1]1 lentelė'!B159</f>
        <v>3.2.1.2.1</v>
      </c>
      <c r="C157" s="35" t="str">
        <f>'[1]1 lentelė'!C159</f>
        <v>R096615-470000-3201</v>
      </c>
      <c r="D157" s="35" t="str">
        <f>'[1]1 lentelė'!D159</f>
        <v>Tuberkuliozės gydymo skatinimas Anykščių rajono
savivaldybėje</v>
      </c>
      <c r="E157" s="58" t="s">
        <v>1433</v>
      </c>
      <c r="F157" s="58" t="s">
        <v>1434</v>
      </c>
      <c r="G157" s="58">
        <v>32</v>
      </c>
      <c r="H157" s="58"/>
      <c r="I157" s="58"/>
      <c r="J157" s="56"/>
      <c r="K157" s="56"/>
      <c r="L157" s="56"/>
      <c r="M157" s="56"/>
      <c r="N157" s="56"/>
      <c r="O157" s="56"/>
      <c r="P157" s="29"/>
      <c r="Q157" s="54"/>
      <c r="R157" s="74"/>
      <c r="S157" s="74"/>
      <c r="T157" s="74"/>
      <c r="U157" s="74"/>
      <c r="V157" s="74"/>
      <c r="W157" s="44"/>
      <c r="X157" s="44"/>
      <c r="Y157" s="44"/>
      <c r="Z157" s="44"/>
      <c r="AA157" s="44"/>
      <c r="AB157" s="44"/>
      <c r="AC157" s="44"/>
      <c r="AD157" s="44"/>
      <c r="AE157" s="44"/>
      <c r="AF157" s="44"/>
      <c r="AG157" s="44"/>
    </row>
    <row r="158" spans="2:33" ht="233.25" customHeight="1" x14ac:dyDescent="0.25">
      <c r="B158" s="35" t="str">
        <f>'[1]1 lentelė'!B160</f>
        <v>3.2.1.2.2</v>
      </c>
      <c r="C158" s="35" t="str">
        <f>'[1]1 lentelė'!C160</f>
        <v>R096615-470000-3202</v>
      </c>
      <c r="D158" s="35" t="str">
        <f>'[1]1 lentelė'!D160</f>
        <v>Sergamumo ir mirtingumo mažinimas nuo tuberkuliozės Ignalinos rajone</v>
      </c>
      <c r="E158" s="58" t="s">
        <v>1433</v>
      </c>
      <c r="F158" s="58" t="s">
        <v>1434</v>
      </c>
      <c r="G158" s="58">
        <v>15</v>
      </c>
      <c r="H158" s="56"/>
      <c r="I158" s="56"/>
      <c r="J158" s="56"/>
      <c r="K158" s="56"/>
      <c r="L158" s="56"/>
      <c r="M158" s="56"/>
      <c r="N158" s="56"/>
      <c r="O158" s="56"/>
      <c r="P158" s="29"/>
      <c r="Q158" s="54"/>
      <c r="R158" s="74"/>
      <c r="S158" s="74"/>
      <c r="T158" s="74"/>
      <c r="U158" s="74"/>
      <c r="V158" s="74"/>
      <c r="W158" s="44"/>
      <c r="X158" s="44"/>
      <c r="Y158" s="44"/>
      <c r="Z158" s="44"/>
      <c r="AA158" s="44"/>
      <c r="AB158" s="44"/>
      <c r="AC158" s="44"/>
      <c r="AD158" s="44"/>
      <c r="AE158" s="44"/>
      <c r="AF158" s="44"/>
      <c r="AG158" s="44"/>
    </row>
    <row r="159" spans="2:33" ht="232.5" customHeight="1" x14ac:dyDescent="0.25">
      <c r="B159" s="35" t="str">
        <f>'[1]1 lentelė'!B161</f>
        <v>3.2.1.2.3</v>
      </c>
      <c r="C159" s="35" t="str">
        <f>'[1]1 lentelė'!C161</f>
        <v>R096615-470000-3203</v>
      </c>
      <c r="D159" s="35" t="str">
        <f>'[1]1 lentelė'!D161</f>
        <v>Paslaugų prieinamumo priemonių tuberkulioze sergantiems asmenims įgyvendinimas  Molėtų rajone</v>
      </c>
      <c r="E159" s="58" t="s">
        <v>1433</v>
      </c>
      <c r="F159" s="58" t="s">
        <v>1434</v>
      </c>
      <c r="G159" s="58">
        <v>19</v>
      </c>
      <c r="H159" s="56"/>
      <c r="I159" s="56"/>
      <c r="J159" s="56"/>
      <c r="K159" s="56"/>
      <c r="L159" s="56"/>
      <c r="M159" s="56"/>
      <c r="N159" s="56"/>
      <c r="O159" s="56"/>
      <c r="P159" s="29"/>
      <c r="Q159" s="54"/>
      <c r="R159" s="74"/>
      <c r="S159" s="74"/>
      <c r="T159" s="74"/>
      <c r="U159" s="74"/>
      <c r="V159" s="74"/>
      <c r="W159" s="44"/>
      <c r="X159" s="44"/>
      <c r="Y159" s="44"/>
      <c r="Z159" s="44"/>
      <c r="AA159" s="44"/>
      <c r="AB159" s="44"/>
      <c r="AC159" s="44"/>
      <c r="AD159" s="44"/>
      <c r="AE159" s="44"/>
      <c r="AF159" s="44"/>
      <c r="AG159" s="44"/>
    </row>
    <row r="160" spans="2:33" ht="231.75" customHeight="1" x14ac:dyDescent="0.25">
      <c r="B160" s="35" t="str">
        <f>'[1]1 lentelė'!B162</f>
        <v>3.2.1.2.4</v>
      </c>
      <c r="C160" s="35" t="str">
        <f>'[1]1 lentelė'!C162</f>
        <v>R096615-470000-3204</v>
      </c>
      <c r="D160" s="35" t="str">
        <f>'[1]1 lentelė'!D162</f>
        <v>Priemonių, gerinančių ambulatorinių sveikatos priežiūros paslaugų prieinamumą tuberkulioze sergantiems asmenims, įgyvendinimas Utenos rajone</v>
      </c>
      <c r="E160" s="58" t="s">
        <v>1433</v>
      </c>
      <c r="F160" s="58" t="s">
        <v>1434</v>
      </c>
      <c r="G160" s="58">
        <v>13</v>
      </c>
      <c r="H160" s="56"/>
      <c r="I160" s="56"/>
      <c r="J160" s="56"/>
      <c r="K160" s="56"/>
      <c r="L160" s="56"/>
      <c r="M160" s="56"/>
      <c r="N160" s="56"/>
      <c r="O160" s="56"/>
      <c r="P160" s="29"/>
      <c r="Q160" s="54"/>
      <c r="R160" s="74"/>
      <c r="S160" s="74"/>
      <c r="T160" s="74"/>
      <c r="U160" s="74"/>
      <c r="V160" s="74"/>
      <c r="W160" s="44"/>
      <c r="X160" s="44"/>
      <c r="Y160" s="44"/>
      <c r="Z160" s="44"/>
      <c r="AA160" s="44"/>
      <c r="AB160" s="44"/>
      <c r="AC160" s="44"/>
      <c r="AD160" s="44"/>
      <c r="AE160" s="44"/>
      <c r="AF160" s="44"/>
      <c r="AG160" s="44"/>
    </row>
    <row r="161" spans="2:33" ht="233.25" customHeight="1" x14ac:dyDescent="0.25">
      <c r="B161" s="35" t="str">
        <f>'[1]1 lentelė'!B163</f>
        <v>3.2.1.2.5</v>
      </c>
      <c r="C161" s="35" t="str">
        <f>'[1]1 lentelė'!C163</f>
        <v>R096615-470000-3205</v>
      </c>
      <c r="D161" s="35" t="str">
        <f>'[1]1 lentelė'!D163</f>
        <v>Sergamumo ir mirtingumo mažinimas nuo tuberkuliozės Visagino savivaldybėje</v>
      </c>
      <c r="E161" s="58" t="s">
        <v>1433</v>
      </c>
      <c r="F161" s="58" t="s">
        <v>1434</v>
      </c>
      <c r="G161" s="58">
        <v>5</v>
      </c>
      <c r="H161" s="56"/>
      <c r="I161" s="56"/>
      <c r="J161" s="56"/>
      <c r="K161" s="56"/>
      <c r="L161" s="56"/>
      <c r="M161" s="56"/>
      <c r="N161" s="56"/>
      <c r="O161" s="56"/>
      <c r="P161" s="29"/>
      <c r="Q161" s="54"/>
      <c r="R161" s="74"/>
      <c r="S161" s="74"/>
      <c r="T161" s="74"/>
      <c r="U161" s="74"/>
      <c r="V161" s="74"/>
      <c r="W161" s="44"/>
      <c r="X161" s="44"/>
      <c r="Y161" s="44"/>
      <c r="Z161" s="44"/>
      <c r="AA161" s="44"/>
      <c r="AB161" s="44"/>
      <c r="AC161" s="44"/>
      <c r="AD161" s="44"/>
      <c r="AE161" s="44"/>
      <c r="AF161" s="44"/>
      <c r="AG161" s="44"/>
    </row>
    <row r="162" spans="2:33" ht="231.75" customHeight="1" x14ac:dyDescent="0.25">
      <c r="B162" s="35" t="str">
        <f>'[1]1 lentelė'!B164</f>
        <v>3.2.1.2.6</v>
      </c>
      <c r="C162" s="35" t="str">
        <f>'[1]1 lentelė'!C164</f>
        <v>R096615-470000-3206</v>
      </c>
      <c r="D162" s="35" t="str">
        <f>'[1]1 lentelė'!D164</f>
        <v>Priemonių, gerinančių ambulatorinių sveikatos priežiūros paslaugų prieinamumą tuberkulioze sergantiems asmenims, įgyvendinimas Zarasų rajono savivaldybėje</v>
      </c>
      <c r="E162" s="58" t="s">
        <v>1433</v>
      </c>
      <c r="F162" s="58" t="s">
        <v>1434</v>
      </c>
      <c r="G162" s="58">
        <v>17</v>
      </c>
      <c r="H162" s="56"/>
      <c r="I162" s="56"/>
      <c r="J162" s="56"/>
      <c r="K162" s="56"/>
      <c r="L162" s="56"/>
      <c r="M162" s="56"/>
      <c r="N162" s="56"/>
      <c r="O162" s="56"/>
      <c r="P162" s="29"/>
      <c r="Q162" s="54"/>
      <c r="R162" s="74"/>
      <c r="S162" s="74"/>
      <c r="T162" s="74"/>
      <c r="U162" s="74"/>
      <c r="V162" s="74"/>
      <c r="W162" s="44"/>
      <c r="X162" s="44"/>
      <c r="Y162" s="44"/>
      <c r="Z162" s="44"/>
      <c r="AA162" s="44"/>
      <c r="AB162" s="44"/>
      <c r="AC162" s="44"/>
      <c r="AD162" s="44"/>
      <c r="AE162" s="44"/>
      <c r="AF162" s="44"/>
      <c r="AG162" s="44"/>
    </row>
    <row r="163" spans="2:33" ht="81" customHeight="1" x14ac:dyDescent="0.25">
      <c r="B163" s="70" t="str">
        <f>'[1]1 lentelė'!B165</f>
        <v>3.2.2</v>
      </c>
      <c r="C163" s="70"/>
      <c r="D163" s="70" t="str">
        <f>'[1]1 lentelė'!D165</f>
        <v>Uždavinys: Skatinti sveiką gyvenseną ir visuomenės sveikatos raštingumą</v>
      </c>
      <c r="E163" s="70"/>
      <c r="F163" s="70"/>
      <c r="G163" s="70"/>
      <c r="H163" s="71"/>
      <c r="I163" s="71"/>
      <c r="J163" s="71"/>
      <c r="K163" s="70"/>
      <c r="L163" s="70"/>
      <c r="M163" s="71"/>
      <c r="N163" s="71"/>
      <c r="O163" s="71"/>
      <c r="P163" s="79"/>
      <c r="Q163" s="79"/>
      <c r="R163" s="79"/>
      <c r="S163" s="79"/>
      <c r="T163" s="79"/>
      <c r="U163" s="79"/>
      <c r="V163" s="79"/>
      <c r="W163" s="44"/>
      <c r="X163" s="44"/>
      <c r="Y163" s="44"/>
      <c r="Z163" s="44"/>
      <c r="AA163" s="44"/>
      <c r="AB163" s="44"/>
      <c r="AC163" s="44"/>
      <c r="AD163" s="44"/>
      <c r="AE163" s="44"/>
      <c r="AF163" s="44"/>
      <c r="AG163" s="44"/>
    </row>
    <row r="164" spans="2:33" ht="70.5" customHeight="1" x14ac:dyDescent="0.25">
      <c r="B164" s="60" t="str">
        <f>'[1]1 lentelė'!B166</f>
        <v>3.2.2.1</v>
      </c>
      <c r="C164" s="60"/>
      <c r="D164" s="91" t="str">
        <f>'[1]1 lentelė'!D166</f>
        <v xml:space="preserve">Priemonė: Sveikos gyvensenos skatinimas regioniniu lygiu </v>
      </c>
      <c r="E164" s="60"/>
      <c r="F164" s="60"/>
      <c r="G164" s="60"/>
      <c r="H164" s="60"/>
      <c r="I164" s="60"/>
      <c r="J164" s="60"/>
      <c r="K164" s="60"/>
      <c r="L164" s="60"/>
      <c r="M164" s="60"/>
      <c r="N164" s="60"/>
      <c r="O164" s="60"/>
      <c r="P164" s="50"/>
      <c r="Q164" s="50"/>
      <c r="R164" s="50"/>
      <c r="S164" s="50"/>
      <c r="T164" s="50"/>
      <c r="U164" s="50"/>
      <c r="V164" s="50"/>
      <c r="W164" s="44"/>
      <c r="X164" s="44"/>
      <c r="Y164" s="44"/>
      <c r="Z164" s="44"/>
      <c r="AA164" s="44"/>
      <c r="AB164" s="44"/>
      <c r="AC164" s="44"/>
      <c r="AD164" s="44"/>
      <c r="AE164" s="44"/>
      <c r="AF164" s="44"/>
      <c r="AG164" s="44"/>
    </row>
    <row r="165" spans="2:33" ht="191.25" x14ac:dyDescent="0.25">
      <c r="B165" s="35" t="str">
        <f>'[1]1 lentelė'!B167</f>
        <v>3.2.2.1.1.</v>
      </c>
      <c r="C165" s="35" t="str">
        <f>'[1]1 lentelė'!C167</f>
        <v>R096630-470000-3207</v>
      </c>
      <c r="D165" s="35" t="str">
        <f>'[1]1 lentelė'!D167</f>
        <v>Sveikos gyvensenos skatinimas Anykščių rajono savivaldybėje</v>
      </c>
      <c r="E165" s="58" t="s">
        <v>1435</v>
      </c>
      <c r="F165" s="58" t="s">
        <v>1436</v>
      </c>
      <c r="G165" s="58">
        <v>2100</v>
      </c>
      <c r="H165" s="58" t="s">
        <v>1437</v>
      </c>
      <c r="I165" s="58" t="s">
        <v>1438</v>
      </c>
      <c r="J165" s="58">
        <v>1</v>
      </c>
      <c r="K165" s="58"/>
      <c r="L165" s="56"/>
      <c r="M165" s="56"/>
      <c r="N165" s="56"/>
      <c r="O165" s="56"/>
      <c r="P165" s="29"/>
      <c r="Q165" s="54"/>
      <c r="R165" s="74"/>
      <c r="S165" s="74"/>
      <c r="T165" s="74"/>
      <c r="U165" s="74"/>
      <c r="V165" s="74"/>
      <c r="W165" s="44"/>
      <c r="X165" s="44"/>
      <c r="Y165" s="44"/>
      <c r="Z165" s="44"/>
      <c r="AA165" s="44"/>
      <c r="AB165" s="44"/>
      <c r="AC165" s="44"/>
      <c r="AD165" s="44"/>
      <c r="AE165" s="44"/>
      <c r="AF165" s="44"/>
      <c r="AG165" s="44"/>
    </row>
    <row r="166" spans="2:33" ht="191.25" x14ac:dyDescent="0.25">
      <c r="B166" s="35" t="str">
        <f>'[1]1 lentelė'!B168</f>
        <v>3.2.2.1.2.</v>
      </c>
      <c r="C166" s="35" t="str">
        <f>'[1]1 lentelė'!C168</f>
        <v>R096630-470000-3208</v>
      </c>
      <c r="D166" s="35" t="str">
        <f>'[1]1 lentelė'!D168</f>
        <v>Sveikos gyvensenos skatinimas Molėtų rajono savivaldybėje</v>
      </c>
      <c r="E166" s="58" t="s">
        <v>1435</v>
      </c>
      <c r="F166" s="58" t="s">
        <v>1439</v>
      </c>
      <c r="G166" s="58">
        <v>1782</v>
      </c>
      <c r="H166" s="58"/>
      <c r="I166" s="58"/>
      <c r="J166" s="58"/>
      <c r="K166" s="58"/>
      <c r="L166" s="56"/>
      <c r="M166" s="56"/>
      <c r="N166" s="56"/>
      <c r="O166" s="56"/>
      <c r="P166" s="29"/>
      <c r="Q166" s="54"/>
      <c r="R166" s="74"/>
      <c r="S166" s="74"/>
      <c r="T166" s="74"/>
      <c r="U166" s="74"/>
      <c r="V166" s="74"/>
      <c r="W166" s="44"/>
      <c r="X166" s="44"/>
      <c r="Y166" s="44"/>
      <c r="Z166" s="44"/>
      <c r="AA166" s="44"/>
      <c r="AB166" s="44"/>
      <c r="AC166" s="44"/>
      <c r="AD166" s="44"/>
      <c r="AE166" s="44"/>
      <c r="AF166" s="44"/>
      <c r="AG166" s="44"/>
    </row>
    <row r="167" spans="2:33" ht="191.25" x14ac:dyDescent="0.25">
      <c r="B167" s="35" t="str">
        <f>'[1]1 lentelė'!B169</f>
        <v>3.2.2.1.3.</v>
      </c>
      <c r="C167" s="35" t="str">
        <f>'[1]1 lentelė'!C169</f>
        <v>R096630-470000-3209</v>
      </c>
      <c r="D167" s="35" t="str">
        <f>'[1]1 lentelė'!D169</f>
        <v>Sveikos gyvensenos skatinimas Utenos rajone</v>
      </c>
      <c r="E167" s="58" t="s">
        <v>1435</v>
      </c>
      <c r="F167" s="58" t="s">
        <v>1440</v>
      </c>
      <c r="G167" s="58">
        <v>2488</v>
      </c>
      <c r="H167" s="58"/>
      <c r="I167" s="58"/>
      <c r="J167" s="58"/>
      <c r="K167" s="58"/>
      <c r="L167" s="56"/>
      <c r="M167" s="56"/>
      <c r="N167" s="56"/>
      <c r="O167" s="56"/>
      <c r="P167" s="29"/>
      <c r="Q167" s="54"/>
      <c r="R167" s="74"/>
      <c r="S167" s="74"/>
      <c r="T167" s="74"/>
      <c r="U167" s="74"/>
      <c r="V167" s="74"/>
      <c r="W167" s="44"/>
      <c r="X167" s="44"/>
      <c r="Y167" s="44"/>
      <c r="Z167" s="44"/>
      <c r="AA167" s="44"/>
      <c r="AB167" s="44"/>
      <c r="AC167" s="44"/>
      <c r="AD167" s="44"/>
      <c r="AE167" s="44"/>
      <c r="AF167" s="44"/>
      <c r="AG167" s="44"/>
    </row>
    <row r="168" spans="2:33" ht="191.25" x14ac:dyDescent="0.25">
      <c r="B168" s="35" t="str">
        <f>'[1]1 lentelė'!B170</f>
        <v>3.2.2.1.4.</v>
      </c>
      <c r="C168" s="35" t="str">
        <f>'[1]1 lentelė'!C170</f>
        <v>R096630-470000-3210</v>
      </c>
      <c r="D168" s="35" t="str">
        <f>'[1]1 lentelė'!D170</f>
        <v>Sveikos gyvensenos skatinimas Zarasų rajono savivaldybėje</v>
      </c>
      <c r="E168" s="58" t="s">
        <v>1435</v>
      </c>
      <c r="F168" s="58" t="s">
        <v>1441</v>
      </c>
      <c r="G168" s="58">
        <v>1414</v>
      </c>
      <c r="H168" s="56"/>
      <c r="I168" s="56"/>
      <c r="J168" s="56"/>
      <c r="K168" s="56"/>
      <c r="L168" s="56"/>
      <c r="M168" s="56"/>
      <c r="N168" s="56"/>
      <c r="O168" s="56"/>
      <c r="P168" s="29"/>
      <c r="Q168" s="54"/>
      <c r="R168" s="74"/>
      <c r="S168" s="74"/>
      <c r="T168" s="74"/>
      <c r="U168" s="74"/>
      <c r="V168" s="74"/>
      <c r="W168" s="44"/>
      <c r="X168" s="44"/>
      <c r="Y168" s="44"/>
      <c r="Z168" s="44"/>
      <c r="AA168" s="44"/>
      <c r="AB168" s="44"/>
      <c r="AC168" s="44"/>
      <c r="AD168" s="44"/>
      <c r="AE168" s="44"/>
      <c r="AF168" s="44"/>
      <c r="AG168" s="44"/>
    </row>
    <row r="169" spans="2:33" ht="191.25" x14ac:dyDescent="0.25">
      <c r="B169" s="35" t="str">
        <f>'[1]1 lentelė'!B171</f>
        <v>3.2.2.1.5.</v>
      </c>
      <c r="C169" s="35" t="str">
        <f>'[1]1 lentelė'!C171</f>
        <v>R096630-470000-32011</v>
      </c>
      <c r="D169" s="35" t="str">
        <f>'[1]1 lentelė'!D171</f>
        <v>Sveikos gyvensenos skatinimas Ignalinos rajone</v>
      </c>
      <c r="E169" s="58" t="s">
        <v>1435</v>
      </c>
      <c r="F169" s="58" t="s">
        <v>1442</v>
      </c>
      <c r="G169" s="32">
        <v>591</v>
      </c>
      <c r="H169" s="56"/>
      <c r="I169" s="56"/>
      <c r="J169" s="56"/>
      <c r="K169" s="56"/>
      <c r="L169" s="56"/>
      <c r="M169" s="56"/>
      <c r="N169" s="56"/>
      <c r="O169" s="56"/>
      <c r="P169" s="29"/>
      <c r="Q169" s="54"/>
      <c r="R169" s="74"/>
      <c r="S169" s="74"/>
      <c r="T169" s="74"/>
      <c r="U169" s="74"/>
      <c r="V169" s="74"/>
      <c r="W169" s="44"/>
      <c r="X169" s="44"/>
      <c r="Y169" s="44"/>
      <c r="Z169" s="44"/>
      <c r="AA169" s="44"/>
      <c r="AB169" s="44"/>
      <c r="AC169" s="44"/>
      <c r="AD169" s="44"/>
      <c r="AE169" s="44"/>
      <c r="AF169" s="44"/>
      <c r="AG169" s="44"/>
    </row>
    <row r="170" spans="2:33" ht="191.25" x14ac:dyDescent="0.25">
      <c r="B170" s="35" t="str">
        <f>'[1]1 lentelė'!B172</f>
        <v>3.2.2.1.6.</v>
      </c>
      <c r="C170" s="35" t="str">
        <f>'[1]1 lentelė'!C172</f>
        <v>R096630-470000-3212</v>
      </c>
      <c r="D170" s="35" t="str">
        <f>'[1]1 lentelė'!D172</f>
        <v>Vaikų  sveikos  gyvensenos  skatinimas Visagino savivaldybėje</v>
      </c>
      <c r="E170" s="32" t="s">
        <v>1435</v>
      </c>
      <c r="F170" s="32" t="s">
        <v>1443</v>
      </c>
      <c r="G170" s="32">
        <v>1036</v>
      </c>
      <c r="H170" s="56"/>
      <c r="I170" s="56"/>
      <c r="J170" s="56"/>
      <c r="K170" s="56"/>
      <c r="L170" s="56"/>
      <c r="M170" s="56"/>
      <c r="N170" s="56"/>
      <c r="O170" s="56"/>
      <c r="P170" s="29"/>
      <c r="Q170" s="54"/>
      <c r="R170" s="74"/>
      <c r="S170" s="74"/>
      <c r="T170" s="74"/>
      <c r="U170" s="74"/>
      <c r="V170" s="74"/>
      <c r="W170" s="44"/>
      <c r="X170" s="44"/>
      <c r="Y170" s="44"/>
      <c r="Z170" s="44"/>
      <c r="AA170" s="44"/>
      <c r="AB170" s="44"/>
      <c r="AC170" s="44"/>
      <c r="AD170" s="44"/>
      <c r="AE170" s="44"/>
      <c r="AF170" s="44"/>
      <c r="AG170" s="44"/>
    </row>
    <row r="171" spans="2:33" ht="165.75" x14ac:dyDescent="0.25">
      <c r="B171" s="35" t="str">
        <f>'[1]1 lentelė'!B173</f>
        <v>3.2.2.1.7.</v>
      </c>
      <c r="C171" s="35" t="str">
        <f>'[1]1 lentelė'!C173</f>
        <v>R096630-470000-3236</v>
      </c>
      <c r="D171" s="35" t="str">
        <f>'[1]1 lentelė'!D173</f>
        <v>Sveikos gyvensenos skatinimas Ignalinos rajone. II etapas</v>
      </c>
      <c r="E171" s="32" t="s">
        <v>1435</v>
      </c>
      <c r="F171" s="32" t="s">
        <v>1444</v>
      </c>
      <c r="G171" s="32">
        <v>219</v>
      </c>
      <c r="H171" s="56"/>
      <c r="I171" s="56"/>
      <c r="J171" s="56"/>
      <c r="K171" s="56"/>
      <c r="L171" s="56"/>
      <c r="M171" s="56"/>
      <c r="N171" s="56"/>
      <c r="O171" s="56"/>
      <c r="P171" s="29"/>
      <c r="Q171" s="54"/>
      <c r="R171" s="74"/>
      <c r="S171" s="74"/>
      <c r="T171" s="74"/>
      <c r="U171" s="74"/>
      <c r="V171" s="74"/>
      <c r="W171" s="44"/>
      <c r="X171" s="44"/>
      <c r="Y171" s="44"/>
      <c r="Z171" s="44"/>
      <c r="AA171" s="44"/>
      <c r="AB171" s="44"/>
      <c r="AC171" s="44"/>
      <c r="AD171" s="44"/>
      <c r="AE171" s="44"/>
      <c r="AF171" s="44"/>
      <c r="AG171" s="44"/>
    </row>
    <row r="172" spans="2:33" ht="105.75" customHeight="1" x14ac:dyDescent="0.25">
      <c r="B172" s="70" t="str">
        <f>'[1]1 lentelė'!B174</f>
        <v>3.2.3</v>
      </c>
      <c r="C172" s="70"/>
      <c r="D172" s="70" t="str">
        <f>'[1]1 lentelė'!D174</f>
        <v>Uždavinys: Plėtoti socialinių paslaugų infrastruktūrą ir socialinio būsto fondą bei didinti jų prieinamumą</v>
      </c>
      <c r="E172" s="70"/>
      <c r="F172" s="70"/>
      <c r="G172" s="70"/>
      <c r="H172" s="71"/>
      <c r="I172" s="71"/>
      <c r="J172" s="71"/>
      <c r="K172" s="70"/>
      <c r="L172" s="70"/>
      <c r="M172" s="71"/>
      <c r="N172" s="71"/>
      <c r="O172" s="71"/>
      <c r="P172" s="48"/>
      <c r="Q172" s="48"/>
      <c r="R172" s="48"/>
      <c r="S172" s="48"/>
      <c r="T172" s="48"/>
      <c r="U172" s="48"/>
      <c r="V172" s="48"/>
      <c r="W172" s="44"/>
      <c r="X172" s="44"/>
      <c r="Y172" s="44"/>
      <c r="Z172" s="44"/>
      <c r="AA172" s="44"/>
      <c r="AB172" s="44"/>
      <c r="AC172" s="44"/>
      <c r="AD172" s="44"/>
      <c r="AE172" s="44"/>
      <c r="AF172" s="44"/>
      <c r="AG172" s="44"/>
    </row>
    <row r="173" spans="2:33" ht="67.5" x14ac:dyDescent="0.25">
      <c r="B173" s="60" t="str">
        <f>'[1]1 lentelė'!B175</f>
        <v>3.2.3.1</v>
      </c>
      <c r="C173" s="60"/>
      <c r="D173" s="91" t="str">
        <f>'[1]1 lentelė'!D175</f>
        <v>Priemonė: Socialinių paslaugų infrastruktūros plėtra</v>
      </c>
      <c r="E173" s="60"/>
      <c r="F173" s="60"/>
      <c r="G173" s="60"/>
      <c r="H173" s="60"/>
      <c r="I173" s="60"/>
      <c r="J173" s="60"/>
      <c r="K173" s="60"/>
      <c r="L173" s="60"/>
      <c r="M173" s="60"/>
      <c r="N173" s="60"/>
      <c r="O173" s="60"/>
      <c r="P173" s="50"/>
      <c r="Q173" s="50"/>
      <c r="R173" s="50"/>
      <c r="S173" s="50"/>
      <c r="T173" s="50"/>
      <c r="U173" s="50"/>
      <c r="V173" s="50"/>
      <c r="W173" s="44"/>
      <c r="X173" s="44"/>
      <c r="Y173" s="44"/>
      <c r="Z173" s="44"/>
      <c r="AA173" s="44"/>
      <c r="AB173" s="44"/>
      <c r="AC173" s="44"/>
      <c r="AD173" s="44"/>
      <c r="AE173" s="44"/>
      <c r="AF173" s="44"/>
      <c r="AG173" s="44"/>
    </row>
    <row r="174" spans="2:33" ht="127.5" x14ac:dyDescent="0.25">
      <c r="B174" s="35" t="str">
        <f>'1 lentelė'!B174</f>
        <v>3.2.3.1.1</v>
      </c>
      <c r="C174" s="35" t="str">
        <f>'1 lentelė'!C174</f>
        <v>R094407-270000-3213</v>
      </c>
      <c r="D174" s="35" t="str">
        <f>'1 lentelė'!D174</f>
        <v>Anykščių rajono Svėdasų senelių globos namų modernizavimas</v>
      </c>
      <c r="E174" s="58" t="s">
        <v>1445</v>
      </c>
      <c r="F174" s="58" t="s">
        <v>1446</v>
      </c>
      <c r="G174" s="58">
        <v>1</v>
      </c>
      <c r="H174" s="58" t="s">
        <v>1447</v>
      </c>
      <c r="I174" s="58" t="s">
        <v>1448</v>
      </c>
      <c r="J174" s="32">
        <v>50</v>
      </c>
      <c r="K174" s="32" t="s">
        <v>1449</v>
      </c>
      <c r="L174" s="32" t="s">
        <v>1450</v>
      </c>
      <c r="M174" s="32">
        <v>35</v>
      </c>
      <c r="N174" s="56"/>
      <c r="O174" s="56"/>
      <c r="P174" s="29"/>
      <c r="Q174" s="54"/>
      <c r="R174" s="74"/>
      <c r="S174" s="74"/>
      <c r="T174" s="74"/>
      <c r="U174" s="74"/>
      <c r="V174" s="74"/>
      <c r="W174" s="44"/>
      <c r="X174" s="44"/>
      <c r="Y174" s="44"/>
      <c r="Z174" s="44"/>
      <c r="AA174" s="44"/>
      <c r="AB174" s="44"/>
      <c r="AC174" s="44"/>
      <c r="AD174" s="44"/>
      <c r="AE174" s="44"/>
      <c r="AF174" s="44"/>
      <c r="AG174" s="44"/>
    </row>
    <row r="175" spans="2:33" ht="153" x14ac:dyDescent="0.25">
      <c r="B175" s="35" t="str">
        <f>'[1]1 lentelė'!B177</f>
        <v>3.2.3.1.2</v>
      </c>
      <c r="C175" s="35" t="str">
        <f>'[1]1 lentelė'!C177</f>
        <v>R094407-270000-3214</v>
      </c>
      <c r="D175" s="35" t="str">
        <f>'[1]1 lentelė'!D177</f>
        <v>Utenos rajono savivaldybės Leliūnų socialinės globos namų modernizavimas</v>
      </c>
      <c r="E175" s="32" t="s">
        <v>1445</v>
      </c>
      <c r="F175" s="32" t="s">
        <v>1446</v>
      </c>
      <c r="G175" s="32">
        <v>1</v>
      </c>
      <c r="H175" s="32" t="s">
        <v>1447</v>
      </c>
      <c r="I175" s="32" t="s">
        <v>1448</v>
      </c>
      <c r="J175" s="32">
        <v>0</v>
      </c>
      <c r="K175" s="32" t="s">
        <v>1449</v>
      </c>
      <c r="L175" s="32" t="s">
        <v>1450</v>
      </c>
      <c r="M175" s="32">
        <v>28</v>
      </c>
      <c r="N175" s="56"/>
      <c r="O175" s="56"/>
      <c r="P175" s="29"/>
      <c r="Q175" s="54"/>
      <c r="R175" s="74"/>
      <c r="S175" s="74"/>
      <c r="T175" s="74"/>
      <c r="U175" s="74"/>
      <c r="V175" s="74"/>
      <c r="W175" s="44"/>
      <c r="X175" s="44"/>
      <c r="Y175" s="333" t="s">
        <v>1445</v>
      </c>
      <c r="Z175" s="333" t="s">
        <v>1446</v>
      </c>
      <c r="AA175" s="333">
        <v>1</v>
      </c>
      <c r="AB175" s="333" t="s">
        <v>1447</v>
      </c>
      <c r="AC175" s="333" t="s">
        <v>1448</v>
      </c>
      <c r="AD175" s="333">
        <v>43</v>
      </c>
      <c r="AE175" s="333" t="s">
        <v>1449</v>
      </c>
      <c r="AF175" s="333" t="s">
        <v>1450</v>
      </c>
      <c r="AG175" s="333">
        <v>28</v>
      </c>
    </row>
    <row r="176" spans="2:33" ht="127.5" x14ac:dyDescent="0.25">
      <c r="B176" s="35" t="str">
        <f>'[1]1 lentelė'!B178</f>
        <v>3.2.3.1.3</v>
      </c>
      <c r="C176" s="35" t="str">
        <f>'[1]1 lentelė'!C178</f>
        <v>R094407-270000-3215</v>
      </c>
      <c r="D176" s="35" t="str">
        <f>'[1]1 lentelė'!D178</f>
        <v>Zarasų rajono socialinių paslaugų centro nakvynės namų modernizavimas ir plėtra</v>
      </c>
      <c r="E176" s="58" t="s">
        <v>1445</v>
      </c>
      <c r="F176" s="58" t="s">
        <v>1446</v>
      </c>
      <c r="G176" s="58">
        <v>1</v>
      </c>
      <c r="H176" s="58" t="s">
        <v>1447</v>
      </c>
      <c r="I176" s="58" t="s">
        <v>1448</v>
      </c>
      <c r="J176" s="32">
        <v>0</v>
      </c>
      <c r="K176" s="58" t="s">
        <v>1449</v>
      </c>
      <c r="L176" s="58" t="s">
        <v>1450</v>
      </c>
      <c r="M176" s="58">
        <v>14</v>
      </c>
      <c r="N176" s="56"/>
      <c r="O176" s="56"/>
      <c r="P176" s="29"/>
      <c r="Q176" s="54"/>
      <c r="R176" s="74"/>
      <c r="S176" s="74"/>
      <c r="T176" s="74"/>
      <c r="U176" s="74"/>
      <c r="V176" s="74"/>
      <c r="W176" s="44"/>
      <c r="X176" s="44"/>
      <c r="Y176" s="44"/>
      <c r="Z176" s="44"/>
      <c r="AA176" s="44"/>
      <c r="AB176" s="44"/>
      <c r="AC176" s="44"/>
      <c r="AD176" s="44"/>
      <c r="AE176" s="44"/>
      <c r="AF176" s="44"/>
      <c r="AG176" s="44"/>
    </row>
    <row r="177" spans="2:33" ht="135.75" customHeight="1" x14ac:dyDescent="0.25">
      <c r="B177" s="35" t="str">
        <f>'[1]1 lentelė'!B179</f>
        <v>3.2.3.1.4</v>
      </c>
      <c r="C177" s="35" t="str">
        <f>'[1]1 lentelė'!C179</f>
        <v>R094407-270000-3216</v>
      </c>
      <c r="D177" s="35" t="str">
        <f>'[1]1 lentelė'!D179</f>
        <v>Apleisto (nenaudojamo) buvusio visuomeninio pastato konversija ir pritaikymas savarankiško gyvenimo namų Visagine įkūrimas</v>
      </c>
      <c r="E177" s="58" t="s">
        <v>1445</v>
      </c>
      <c r="F177" s="58" t="s">
        <v>1446</v>
      </c>
      <c r="G177" s="58">
        <v>1</v>
      </c>
      <c r="H177" s="58" t="s">
        <v>1447</v>
      </c>
      <c r="I177" s="58" t="s">
        <v>1448</v>
      </c>
      <c r="J177" s="58">
        <v>20</v>
      </c>
      <c r="K177" s="58" t="s">
        <v>1449</v>
      </c>
      <c r="L177" s="58" t="s">
        <v>1450</v>
      </c>
      <c r="M177" s="58">
        <v>16</v>
      </c>
      <c r="N177" s="56"/>
      <c r="O177" s="56"/>
      <c r="P177" s="29"/>
      <c r="Q177" s="54"/>
      <c r="R177" s="74"/>
      <c r="S177" s="74"/>
      <c r="T177" s="74"/>
      <c r="U177" s="74"/>
      <c r="V177" s="74"/>
      <c r="W177" s="44"/>
      <c r="X177" s="44"/>
      <c r="Y177" s="44"/>
      <c r="Z177" s="44"/>
      <c r="AA177" s="44"/>
      <c r="AB177" s="44"/>
      <c r="AC177" s="44"/>
      <c r="AD177" s="44"/>
      <c r="AE177" s="44"/>
      <c r="AF177" s="44"/>
      <c r="AG177" s="44"/>
    </row>
    <row r="178" spans="2:33" ht="41.25" customHeight="1" x14ac:dyDescent="0.25">
      <c r="B178" s="60" t="str">
        <f>'[1]1 lentelė'!B180</f>
        <v>3.2.3.2</v>
      </c>
      <c r="C178" s="60"/>
      <c r="D178" s="91" t="str">
        <f>'[1]1 lentelė'!D180</f>
        <v>Priemonė: Socialinio būsto fondo plėtra</v>
      </c>
      <c r="E178" s="60"/>
      <c r="F178" s="60"/>
      <c r="G178" s="60"/>
      <c r="H178" s="60"/>
      <c r="I178" s="60"/>
      <c r="J178" s="60"/>
      <c r="K178" s="60"/>
      <c r="L178" s="60"/>
      <c r="M178" s="60"/>
      <c r="N178" s="60"/>
      <c r="O178" s="60"/>
      <c r="P178" s="50"/>
      <c r="Q178" s="50"/>
      <c r="R178" s="50"/>
      <c r="S178" s="50"/>
      <c r="T178" s="50"/>
      <c r="U178" s="50"/>
      <c r="V178" s="50"/>
      <c r="W178" s="6"/>
      <c r="X178" s="44"/>
      <c r="Y178" s="44"/>
      <c r="Z178" s="44"/>
      <c r="AA178" s="44"/>
      <c r="AB178" s="44"/>
      <c r="AC178" s="44"/>
      <c r="AD178" s="44"/>
      <c r="AE178" s="44"/>
      <c r="AF178" s="44"/>
      <c r="AG178" s="44"/>
    </row>
    <row r="179" spans="2:33" ht="60" customHeight="1" x14ac:dyDescent="0.25">
      <c r="B179" s="35" t="str">
        <f>'[1]1 lentelė'!B181</f>
        <v>3.2.3.2.1</v>
      </c>
      <c r="C179" s="35" t="str">
        <f>'[1]1 lentelė'!C181</f>
        <v>R094408-252600-3217</v>
      </c>
      <c r="D179" s="35" t="str">
        <f>'[1]1 lentelė'!D181</f>
        <v>Socialinio būsto fondo plėtra Ignalinos rajono savivaldybėje</v>
      </c>
      <c r="E179" s="32" t="s">
        <v>1451</v>
      </c>
      <c r="F179" s="32" t="s">
        <v>1452</v>
      </c>
      <c r="G179" s="32">
        <v>21</v>
      </c>
      <c r="H179" s="56"/>
      <c r="I179" s="56"/>
      <c r="J179" s="56"/>
      <c r="K179" s="56"/>
      <c r="L179" s="56"/>
      <c r="M179" s="56"/>
      <c r="N179" s="56"/>
      <c r="O179" s="56"/>
      <c r="P179" s="29"/>
      <c r="Q179" s="54"/>
      <c r="R179" s="54"/>
      <c r="S179" s="54"/>
      <c r="T179" s="54"/>
      <c r="U179" s="54"/>
      <c r="V179" s="54"/>
      <c r="W179" s="6"/>
      <c r="X179" s="44"/>
      <c r="Y179" s="44"/>
      <c r="Z179" s="44"/>
      <c r="AA179" s="44"/>
      <c r="AB179" s="44"/>
      <c r="AC179" s="44"/>
      <c r="AD179" s="44"/>
      <c r="AE179" s="44"/>
      <c r="AF179" s="44"/>
      <c r="AG179" s="44"/>
    </row>
    <row r="180" spans="2:33" ht="105" customHeight="1" x14ac:dyDescent="0.25">
      <c r="B180" s="35" t="str">
        <f>'[1]1 lentelė'!B182</f>
        <v>3.2.3.2.2</v>
      </c>
      <c r="C180" s="35" t="str">
        <f>'[1]1 lentelė'!C182</f>
        <v>R094408-250000-3218</v>
      </c>
      <c r="D180" s="35" t="str">
        <f>'[1]1 lentelė'!D182</f>
        <v>Bendrabučio tipo pastato, esančio Visagine,  Kosmoso 28, patalpų pritaikymas socialinio būsto įrengimui</v>
      </c>
      <c r="E180" s="56" t="s">
        <v>1451</v>
      </c>
      <c r="F180" s="56" t="s">
        <v>1452</v>
      </c>
      <c r="G180" s="29">
        <v>25</v>
      </c>
      <c r="H180" s="56"/>
      <c r="I180" s="56"/>
      <c r="J180" s="56"/>
      <c r="K180" s="56"/>
      <c r="L180" s="56"/>
      <c r="M180" s="56"/>
      <c r="N180" s="56"/>
      <c r="O180" s="56"/>
      <c r="P180" s="29"/>
      <c r="Q180" s="54"/>
      <c r="R180" s="54"/>
      <c r="S180" s="54"/>
      <c r="T180" s="54"/>
      <c r="U180" s="54"/>
      <c r="V180" s="54"/>
      <c r="W180" s="6"/>
      <c r="X180" s="44"/>
      <c r="Y180" s="44"/>
      <c r="Z180" s="44"/>
      <c r="AA180" s="44"/>
      <c r="AB180" s="44"/>
      <c r="AC180" s="44"/>
      <c r="AD180" s="44"/>
      <c r="AE180" s="44"/>
      <c r="AF180" s="44"/>
      <c r="AG180" s="44"/>
    </row>
    <row r="181" spans="2:33" ht="61.5" customHeight="1" x14ac:dyDescent="0.25">
      <c r="B181" s="35" t="str">
        <f>'[1]1 lentelė'!B183</f>
        <v>3.2.3.2.3</v>
      </c>
      <c r="C181" s="35" t="str">
        <f>'[1]1 lentelė'!C183</f>
        <v>R094408-250000-3219</v>
      </c>
      <c r="D181" s="35" t="str">
        <f>'[1]1 lentelė'!D183</f>
        <v>Socialinio būsto fondo plėtra Anykščių rajono savivaldybėje</v>
      </c>
      <c r="E181" s="56" t="s">
        <v>1451</v>
      </c>
      <c r="F181" s="56" t="s">
        <v>1452</v>
      </c>
      <c r="G181" s="32">
        <v>20</v>
      </c>
      <c r="H181" s="56"/>
      <c r="I181" s="56"/>
      <c r="J181" s="56"/>
      <c r="K181" s="56"/>
      <c r="L181" s="56"/>
      <c r="M181" s="56"/>
      <c r="N181" s="56"/>
      <c r="O181" s="56"/>
      <c r="P181" s="29"/>
      <c r="Q181" s="54"/>
      <c r="R181" s="54"/>
      <c r="S181" s="54"/>
      <c r="T181" s="54"/>
      <c r="U181" s="54"/>
      <c r="V181" s="54"/>
      <c r="W181" s="6"/>
      <c r="X181" s="44"/>
      <c r="Y181" s="44"/>
      <c r="Z181" s="44"/>
      <c r="AA181" s="44"/>
      <c r="AB181" s="44"/>
      <c r="AC181" s="44"/>
      <c r="AD181" s="44"/>
      <c r="AE181" s="44"/>
      <c r="AF181" s="44"/>
      <c r="AG181" s="44"/>
    </row>
    <row r="182" spans="2:33" ht="57" customHeight="1" x14ac:dyDescent="0.25">
      <c r="B182" s="35" t="str">
        <f>'[1]1 lentelė'!B184</f>
        <v>3.2.3.2.4</v>
      </c>
      <c r="C182" s="35" t="str">
        <f>'[1]1 lentelė'!C184</f>
        <v>R094408-262500-3220</v>
      </c>
      <c r="D182" s="35" t="str">
        <f>'[1]1 lentelė'!D184</f>
        <v>Socialinio būsto fondo plėtra Molėtų rajono savivaldybėje</v>
      </c>
      <c r="E182" s="56" t="s">
        <v>1451</v>
      </c>
      <c r="F182" s="56" t="s">
        <v>1452</v>
      </c>
      <c r="G182" s="32">
        <v>21</v>
      </c>
      <c r="H182" s="56"/>
      <c r="I182" s="56"/>
      <c r="J182" s="56"/>
      <c r="K182" s="56"/>
      <c r="L182" s="56"/>
      <c r="M182" s="56"/>
      <c r="N182" s="56"/>
      <c r="O182" s="56"/>
      <c r="P182" s="29"/>
      <c r="Q182" s="54"/>
      <c r="R182" s="54"/>
      <c r="S182" s="54"/>
      <c r="T182" s="54"/>
      <c r="U182" s="54"/>
      <c r="V182" s="54"/>
      <c r="W182" s="6"/>
      <c r="X182" s="44"/>
      <c r="Y182" s="44"/>
      <c r="Z182" s="44"/>
      <c r="AA182" s="44"/>
      <c r="AB182" s="44"/>
      <c r="AC182" s="44"/>
      <c r="AD182" s="44"/>
      <c r="AE182" s="44"/>
      <c r="AF182" s="44"/>
      <c r="AG182" s="44"/>
    </row>
    <row r="183" spans="2:33" ht="54.75" customHeight="1" x14ac:dyDescent="0.25">
      <c r="B183" s="35" t="str">
        <f>'[1]1 lentelė'!B185</f>
        <v>3.2.3.2.5</v>
      </c>
      <c r="C183" s="35" t="str">
        <f>'[1]1 lentelė'!C185</f>
        <v>R094408-260000-3221</v>
      </c>
      <c r="D183" s="35" t="str">
        <f>'[1]1 lentelė'!D185</f>
        <v>Socialinio būsto fondo plėtra Zarasų rajono savivaldybėje</v>
      </c>
      <c r="E183" s="32" t="s">
        <v>1451</v>
      </c>
      <c r="F183" s="32" t="s">
        <v>1452</v>
      </c>
      <c r="G183" s="32">
        <v>31</v>
      </c>
      <c r="H183" s="32"/>
      <c r="I183" s="56"/>
      <c r="J183" s="56"/>
      <c r="K183" s="56"/>
      <c r="L183" s="56"/>
      <c r="M183" s="56"/>
      <c r="N183" s="56"/>
      <c r="O183" s="56"/>
      <c r="P183" s="29"/>
      <c r="Q183" s="54"/>
      <c r="R183" s="54"/>
      <c r="S183" s="54"/>
      <c r="T183" s="54"/>
      <c r="U183" s="54"/>
      <c r="V183" s="54"/>
      <c r="W183" s="6"/>
      <c r="X183" s="44"/>
      <c r="Y183" s="44"/>
      <c r="Z183" s="44"/>
      <c r="AA183" s="44"/>
      <c r="AB183" s="44"/>
      <c r="AC183" s="44"/>
      <c r="AD183" s="44"/>
      <c r="AE183" s="44"/>
      <c r="AF183" s="44"/>
      <c r="AG183" s="44"/>
    </row>
    <row r="184" spans="2:33" ht="59.25" customHeight="1" x14ac:dyDescent="0.25">
      <c r="B184" s="35" t="str">
        <f>'[1]1 lentelė'!B186</f>
        <v>3.2.3.2.6</v>
      </c>
      <c r="C184" s="35" t="str">
        <f>'[1]1 lentelė'!C186</f>
        <v>R094408-260000-3222</v>
      </c>
      <c r="D184" s="35" t="str">
        <f>'[1]1 lentelė'!D186</f>
        <v>Socialinio būsto fondo plėtra Utenos rajono savivaldybėje</v>
      </c>
      <c r="E184" s="58" t="s">
        <v>1451</v>
      </c>
      <c r="F184" s="58" t="s">
        <v>1452</v>
      </c>
      <c r="G184" s="58">
        <v>20</v>
      </c>
      <c r="H184" s="56"/>
      <c r="I184" s="56"/>
      <c r="J184" s="56"/>
      <c r="K184" s="56"/>
      <c r="L184" s="56"/>
      <c r="M184" s="56"/>
      <c r="N184" s="56"/>
      <c r="O184" s="56"/>
      <c r="P184" s="29"/>
      <c r="Q184" s="54"/>
      <c r="R184" s="54"/>
      <c r="S184" s="54"/>
      <c r="T184" s="54"/>
      <c r="U184" s="54"/>
      <c r="V184" s="54"/>
      <c r="W184" s="6"/>
      <c r="X184" s="44"/>
      <c r="Y184" s="44"/>
      <c r="Z184" s="44"/>
      <c r="AA184" s="44"/>
      <c r="AB184" s="44"/>
      <c r="AC184" s="44"/>
      <c r="AD184" s="44"/>
      <c r="AE184" s="44"/>
      <c r="AF184" s="44"/>
      <c r="AG184" s="44"/>
    </row>
    <row r="185" spans="2:33" ht="52.5" customHeight="1" x14ac:dyDescent="0.25">
      <c r="B185" s="70" t="str">
        <f>'[1]1 lentelė'!B187</f>
        <v>3.2.4</v>
      </c>
      <c r="C185" s="70"/>
      <c r="D185" s="70" t="str">
        <f>'[1]1 lentelė'!D187</f>
        <v>Uždavinys: Plėtoti kultūros paslaugas ir infrastruktūrą</v>
      </c>
      <c r="E185" s="70"/>
      <c r="F185" s="70"/>
      <c r="G185" s="70"/>
      <c r="H185" s="71"/>
      <c r="I185" s="71"/>
      <c r="J185" s="71"/>
      <c r="K185" s="70"/>
      <c r="L185" s="70"/>
      <c r="M185" s="71"/>
      <c r="N185" s="71"/>
      <c r="O185" s="71"/>
      <c r="P185" s="48"/>
      <c r="Q185" s="48"/>
      <c r="R185" s="48"/>
      <c r="S185" s="48"/>
      <c r="T185" s="48"/>
      <c r="U185" s="48"/>
      <c r="V185" s="48"/>
      <c r="W185" s="6"/>
      <c r="X185" s="44"/>
      <c r="Y185" s="44"/>
      <c r="Z185" s="44"/>
      <c r="AA185" s="44"/>
      <c r="AB185" s="44"/>
      <c r="AC185" s="44"/>
      <c r="AD185" s="44"/>
      <c r="AE185" s="44"/>
      <c r="AF185" s="44"/>
      <c r="AG185" s="44"/>
    </row>
    <row r="186" spans="2:33" ht="66.75" customHeight="1" x14ac:dyDescent="0.25">
      <c r="B186" s="60" t="str">
        <f>'[1]1 lentelė'!B188</f>
        <v>3.2.4.1</v>
      </c>
      <c r="C186" s="60"/>
      <c r="D186" s="91" t="str">
        <f>'[1]1 lentelė'!D188</f>
        <v>Priemonė: Modernizuoti savivaldybių kultūros infrastuktūrą</v>
      </c>
      <c r="E186" s="60"/>
      <c r="F186" s="60"/>
      <c r="G186" s="60"/>
      <c r="H186" s="60"/>
      <c r="I186" s="60"/>
      <c r="J186" s="60"/>
      <c r="K186" s="60"/>
      <c r="L186" s="60"/>
      <c r="M186" s="60"/>
      <c r="N186" s="60"/>
      <c r="O186" s="60"/>
      <c r="P186" s="50"/>
      <c r="Q186" s="50"/>
      <c r="R186" s="50"/>
      <c r="S186" s="50"/>
      <c r="T186" s="50"/>
      <c r="U186" s="50"/>
      <c r="V186" s="50"/>
      <c r="W186" s="6"/>
      <c r="X186" s="44"/>
      <c r="Y186" s="44"/>
      <c r="Z186" s="44"/>
      <c r="AA186" s="44"/>
      <c r="AB186" s="44"/>
      <c r="AC186" s="44"/>
      <c r="AD186" s="44"/>
      <c r="AE186" s="44"/>
      <c r="AF186" s="44"/>
      <c r="AG186" s="44"/>
    </row>
    <row r="187" spans="2:33" ht="114" customHeight="1" x14ac:dyDescent="0.25">
      <c r="B187" s="35" t="str">
        <f>'[1]1 lentelė'!B189</f>
        <v>3.2.4.1.1</v>
      </c>
      <c r="C187" s="35" t="str">
        <f>'[1]1 lentelė'!C189</f>
        <v>R093305-330000-3223</v>
      </c>
      <c r="D187" s="35" t="str">
        <f>'[1]1 lentelė'!D189</f>
        <v xml:space="preserve">Ignalinos rajono savivaldybės viešosios bibliotekos infrastruktūros pritaikymas vietos bendruomenės poreikiams </v>
      </c>
      <c r="E187" s="58" t="s">
        <v>1453</v>
      </c>
      <c r="F187" s="58" t="s">
        <v>1454</v>
      </c>
      <c r="G187" s="58">
        <v>1</v>
      </c>
      <c r="H187" s="56"/>
      <c r="I187" s="56"/>
      <c r="J187" s="56"/>
      <c r="K187" s="56"/>
      <c r="L187" s="56"/>
      <c r="M187" s="56"/>
      <c r="N187" s="56"/>
      <c r="O187" s="56"/>
      <c r="P187" s="29"/>
      <c r="Q187" s="54"/>
      <c r="R187" s="54"/>
      <c r="S187" s="54"/>
      <c r="T187" s="54"/>
      <c r="U187" s="54"/>
      <c r="V187" s="54"/>
      <c r="W187" s="6"/>
      <c r="X187" s="44"/>
      <c r="Y187" s="44"/>
      <c r="Z187" s="44"/>
      <c r="AA187" s="44"/>
      <c r="AB187" s="44"/>
      <c r="AC187" s="44"/>
      <c r="AD187" s="44"/>
      <c r="AE187" s="44"/>
      <c r="AF187" s="44"/>
      <c r="AG187" s="44"/>
    </row>
    <row r="188" spans="2:33" ht="67.5" customHeight="1" x14ac:dyDescent="0.25">
      <c r="B188" s="35" t="str">
        <f>'[1]1 lentelė'!B190</f>
        <v>3.2.4.1.2</v>
      </c>
      <c r="C188" s="35" t="str">
        <f>'[1]1 lentelė'!C190</f>
        <v>R093305-334300-3224</v>
      </c>
      <c r="D188" s="35" t="str">
        <f>'[1]1 lentelė'!D190</f>
        <v>Renginių infrastruktūros atnaujinimas Zarasų miesto Didžiojoje saloje</v>
      </c>
      <c r="E188" s="58" t="s">
        <v>1453</v>
      </c>
      <c r="F188" s="58" t="s">
        <v>1454</v>
      </c>
      <c r="G188" s="58">
        <v>1</v>
      </c>
      <c r="H188" s="56"/>
      <c r="I188" s="56"/>
      <c r="J188" s="56"/>
      <c r="K188" s="56"/>
      <c r="L188" s="56"/>
      <c r="M188" s="56"/>
      <c r="N188" s="56"/>
      <c r="O188" s="56"/>
      <c r="P188" s="29"/>
      <c r="Q188" s="54"/>
      <c r="R188" s="54"/>
      <c r="S188" s="54"/>
      <c r="T188" s="54"/>
      <c r="U188" s="54"/>
      <c r="V188" s="54"/>
      <c r="W188" s="6"/>
      <c r="X188" s="44"/>
      <c r="Y188" s="44"/>
      <c r="Z188" s="44"/>
      <c r="AA188" s="44"/>
      <c r="AB188" s="44"/>
      <c r="AC188" s="44"/>
      <c r="AD188" s="44"/>
      <c r="AE188" s="44"/>
      <c r="AF188" s="44"/>
      <c r="AG188" s="44"/>
    </row>
    <row r="189" spans="2:33" ht="90.75" customHeight="1" x14ac:dyDescent="0.25">
      <c r="B189" s="35" t="str">
        <f>'[1]1 lentelė'!B191</f>
        <v>3.2.4.1.3</v>
      </c>
      <c r="C189" s="35" t="str">
        <f>'[1]1 lentelė'!C191</f>
        <v>R093305-330000-3225</v>
      </c>
      <c r="D189" s="35" t="str">
        <f>'[1]1 lentelė'!D191</f>
        <v>Molėtų miesto laisvalaikio ir pramogų infrastruktūros atnaujinimas ir plėtra Labanoro g. 1b, Molėtai</v>
      </c>
      <c r="E189" s="58" t="s">
        <v>1453</v>
      </c>
      <c r="F189" s="58" t="s">
        <v>1454</v>
      </c>
      <c r="G189" s="58">
        <v>1</v>
      </c>
      <c r="H189" s="56"/>
      <c r="I189" s="56"/>
      <c r="J189" s="56"/>
      <c r="K189" s="56"/>
      <c r="L189" s="56"/>
      <c r="M189" s="56"/>
      <c r="N189" s="56"/>
      <c r="O189" s="56"/>
      <c r="P189" s="29"/>
      <c r="Q189" s="54"/>
      <c r="R189" s="54"/>
      <c r="S189" s="54"/>
      <c r="T189" s="54"/>
      <c r="U189" s="54"/>
      <c r="V189" s="54"/>
      <c r="W189" s="6"/>
      <c r="X189" s="44"/>
      <c r="Y189" s="44"/>
      <c r="Z189" s="44"/>
      <c r="AA189" s="44"/>
      <c r="AB189" s="44"/>
      <c r="AC189" s="44"/>
      <c r="AD189" s="44"/>
      <c r="AE189" s="44"/>
      <c r="AF189" s="44"/>
      <c r="AG189" s="44"/>
    </row>
    <row r="190" spans="2:33" ht="178.5" customHeight="1" x14ac:dyDescent="0.25">
      <c r="B190" s="35" t="str">
        <f>'[1]1 lentelė'!B192</f>
        <v>3.2.4.1.4</v>
      </c>
      <c r="C190" s="35" t="str">
        <f>'[1]1 lentelė'!C192</f>
        <v>R093305-330000-3226</v>
      </c>
      <c r="D190" s="35" t="str">
        <f>'[1]1 lentelė'!D192</f>
        <v>Buvusios Sedulinos mokyklos pastato pritaikymas Visagino kultūros centro ir bendruomenės reikmėms, įrengiant Kultūros, turizmo ir kūrybinio verslo miestą po vienu stogu.</v>
      </c>
      <c r="E190" s="58" t="s">
        <v>1453</v>
      </c>
      <c r="F190" s="58" t="s">
        <v>1454</v>
      </c>
      <c r="G190" s="58">
        <v>1</v>
      </c>
      <c r="H190" s="56"/>
      <c r="I190" s="56"/>
      <c r="J190" s="56"/>
      <c r="K190" s="56"/>
      <c r="L190" s="56"/>
      <c r="M190" s="56"/>
      <c r="N190" s="56"/>
      <c r="O190" s="56"/>
      <c r="P190" s="29"/>
      <c r="Q190" s="54"/>
      <c r="R190" s="54"/>
      <c r="S190" s="54"/>
      <c r="T190" s="54"/>
      <c r="U190" s="54"/>
      <c r="V190" s="54"/>
      <c r="W190" s="6"/>
      <c r="X190" s="44"/>
      <c r="Y190" s="44"/>
      <c r="Z190" s="44"/>
      <c r="AA190" s="44"/>
      <c r="AB190" s="44"/>
      <c r="AC190" s="44"/>
      <c r="AD190" s="44"/>
      <c r="AE190" s="44"/>
      <c r="AF190" s="44"/>
      <c r="AG190" s="44"/>
    </row>
    <row r="191" spans="2:33" ht="78" customHeight="1" x14ac:dyDescent="0.25">
      <c r="B191" s="35" t="str">
        <f>'[1]1 lentelė'!B193</f>
        <v>3.2.4.1.5</v>
      </c>
      <c r="C191" s="35" t="str">
        <f>'[1]1 lentelė'!C193</f>
        <v>R093305-330000-3227</v>
      </c>
      <c r="D191" s="35" t="str">
        <f>'[1]1 lentelė'!D193</f>
        <v>Lietuvos etnokosmologijos muziejaus paslaugų plėtros baigiamasis etapas</v>
      </c>
      <c r="E191" s="58" t="s">
        <v>1453</v>
      </c>
      <c r="F191" s="58" t="s">
        <v>1454</v>
      </c>
      <c r="G191" s="58">
        <v>1</v>
      </c>
      <c r="H191" s="56"/>
      <c r="I191" s="56"/>
      <c r="J191" s="56"/>
      <c r="K191" s="56"/>
      <c r="L191" s="56"/>
      <c r="M191" s="56"/>
      <c r="N191" s="56"/>
      <c r="O191" s="56"/>
      <c r="P191" s="29"/>
      <c r="Q191" s="54"/>
      <c r="R191" s="54"/>
      <c r="S191" s="54"/>
      <c r="T191" s="54"/>
      <c r="U191" s="54"/>
      <c r="V191" s="54"/>
      <c r="W191" s="6"/>
      <c r="X191" s="44"/>
      <c r="Y191" s="44"/>
      <c r="Z191" s="44"/>
      <c r="AA191" s="44"/>
      <c r="AB191" s="44"/>
      <c r="AC191" s="44"/>
      <c r="AD191" s="44"/>
      <c r="AE191" s="44"/>
      <c r="AF191" s="44"/>
      <c r="AG191" s="44"/>
    </row>
    <row r="192" spans="2:33" ht="63" customHeight="1" x14ac:dyDescent="0.25">
      <c r="B192" s="35" t="str">
        <f>'[1]1 lentelė'!B194</f>
        <v>3.2.4.1.6</v>
      </c>
      <c r="C192" s="35" t="str">
        <f>'[1]1 lentelė'!C194</f>
        <v>R093305-330000-3228</v>
      </c>
      <c r="D192" s="35" t="str">
        <f>'[1]1 lentelė'!D194</f>
        <v>Utenos A. ir M. Miškinių viešosios bibliotekos modernizavimas</v>
      </c>
      <c r="E192" s="58" t="s">
        <v>1453</v>
      </c>
      <c r="F192" s="58" t="s">
        <v>1454</v>
      </c>
      <c r="G192" s="58">
        <v>1</v>
      </c>
      <c r="H192" s="56"/>
      <c r="I192" s="56"/>
      <c r="J192" s="56"/>
      <c r="K192" s="56"/>
      <c r="L192" s="56"/>
      <c r="M192" s="56"/>
      <c r="N192" s="56"/>
      <c r="O192" s="56"/>
      <c r="P192" s="29"/>
      <c r="Q192" s="54"/>
      <c r="R192" s="54"/>
      <c r="S192" s="54"/>
      <c r="T192" s="54"/>
      <c r="U192" s="54"/>
      <c r="V192" s="54"/>
      <c r="W192" s="6"/>
      <c r="X192" s="44"/>
      <c r="Y192" s="44"/>
      <c r="Z192" s="44"/>
      <c r="AA192" s="44"/>
      <c r="AB192" s="44"/>
      <c r="AC192" s="44"/>
      <c r="AD192" s="44"/>
      <c r="AE192" s="44"/>
      <c r="AF192" s="44"/>
      <c r="AG192" s="44"/>
    </row>
    <row r="193" spans="2:25" ht="45" customHeight="1" x14ac:dyDescent="0.25">
      <c r="B193" s="70" t="str">
        <f>'[1]1 lentelė'!B195</f>
        <v>3.2.5</v>
      </c>
      <c r="C193" s="70"/>
      <c r="D193" s="70" t="str">
        <f>'[1]1 lentelė'!D195</f>
        <v>Uždavinys: Gerinti viešąjį valdymą</v>
      </c>
      <c r="E193" s="70"/>
      <c r="F193" s="71"/>
      <c r="G193" s="71"/>
      <c r="H193" s="70"/>
      <c r="I193" s="70"/>
      <c r="J193" s="71"/>
      <c r="K193" s="71"/>
      <c r="L193" s="70"/>
      <c r="M193" s="70"/>
      <c r="N193" s="71"/>
      <c r="O193" s="71"/>
      <c r="P193" s="48"/>
      <c r="Q193" s="48"/>
      <c r="R193" s="48"/>
      <c r="S193" s="48"/>
      <c r="T193" s="48"/>
      <c r="U193" s="48"/>
      <c r="V193" s="48"/>
      <c r="W193" s="6"/>
      <c r="X193" s="6"/>
      <c r="Y193" s="6"/>
    </row>
    <row r="194" spans="2:25" ht="95.25" customHeight="1" x14ac:dyDescent="0.25">
      <c r="B194" s="60" t="str">
        <f>'[1]1 lentelė'!B196</f>
        <v>3.2.5.1</v>
      </c>
      <c r="C194" s="60"/>
      <c r="D194" s="91" t="str">
        <f>'[1]1 lentelė'!D196</f>
        <v>Priemonė: Paslaugų ir asmenų aptarnavimo kokybės gerinimas savivaldybėse</v>
      </c>
      <c r="E194" s="60"/>
      <c r="F194" s="60"/>
      <c r="G194" s="60"/>
      <c r="H194" s="60"/>
      <c r="I194" s="60"/>
      <c r="J194" s="60"/>
      <c r="K194" s="60"/>
      <c r="L194" s="60"/>
      <c r="M194" s="60"/>
      <c r="N194" s="60"/>
      <c r="O194" s="60"/>
      <c r="P194" s="50"/>
      <c r="Q194" s="50"/>
      <c r="R194" s="50"/>
      <c r="S194" s="50"/>
      <c r="T194" s="50"/>
      <c r="U194" s="50"/>
      <c r="V194" s="50"/>
      <c r="W194" s="6"/>
      <c r="X194" s="6"/>
      <c r="Y194" s="6"/>
    </row>
    <row r="195" spans="2:25" ht="270" customHeight="1" x14ac:dyDescent="0.25">
      <c r="B195" s="35" t="str">
        <f>'[1]1 lentelė'!B197</f>
        <v>3.2.5.1.1</v>
      </c>
      <c r="C195" s="35" t="str">
        <f>'[1]1 lentelė'!C197</f>
        <v>R099920-490000-3229</v>
      </c>
      <c r="D195" s="35" t="str">
        <f>'[1]1 lentelė'!D197</f>
        <v>Paslaugų ir asmenų aptarnavimo kokybės gerinimas Visagino  savivaldybėje</v>
      </c>
      <c r="E195" s="58" t="s">
        <v>1455</v>
      </c>
      <c r="F195" s="58" t="s">
        <v>1456</v>
      </c>
      <c r="G195" s="32">
        <v>1</v>
      </c>
      <c r="H195" s="58" t="s">
        <v>1457</v>
      </c>
      <c r="I195" s="58" t="s">
        <v>1458</v>
      </c>
      <c r="J195" s="32">
        <v>75</v>
      </c>
      <c r="K195" s="58" t="s">
        <v>1459</v>
      </c>
      <c r="L195" s="58" t="s">
        <v>1460</v>
      </c>
      <c r="M195" s="58">
        <v>1</v>
      </c>
      <c r="N195" s="32"/>
      <c r="O195" s="32"/>
      <c r="P195" s="32"/>
      <c r="Q195" s="75"/>
      <c r="R195" s="75"/>
      <c r="S195" s="75"/>
      <c r="T195" s="75"/>
      <c r="U195" s="75"/>
      <c r="V195" s="75"/>
      <c r="W195" s="33"/>
      <c r="X195" s="33"/>
      <c r="Y195" s="33"/>
    </row>
    <row r="196" spans="2:25" ht="271.5" customHeight="1" x14ac:dyDescent="0.25">
      <c r="B196" s="35" t="str">
        <f>'[1]1 lentelė'!B198</f>
        <v>3.2.5.1.2</v>
      </c>
      <c r="C196" s="35" t="str">
        <f>'[1]1 lentelė'!C198</f>
        <v>R099920-490000-3230</v>
      </c>
      <c r="D196" s="35" t="str">
        <f>'[1]1 lentelė'!D198</f>
        <v>Paslaugų ir asmenų aptarnavimo kokybės gerinimas Molėtų rajono savivaldybėje</v>
      </c>
      <c r="E196" s="58" t="s">
        <v>1455</v>
      </c>
      <c r="F196" s="58" t="s">
        <v>1456</v>
      </c>
      <c r="G196" s="58">
        <v>1</v>
      </c>
      <c r="H196" s="58" t="s">
        <v>1457</v>
      </c>
      <c r="I196" s="58" t="s">
        <v>1458</v>
      </c>
      <c r="J196" s="32">
        <v>40</v>
      </c>
      <c r="K196" s="73"/>
      <c r="L196" s="73"/>
      <c r="M196" s="72"/>
      <c r="N196" s="72"/>
      <c r="O196" s="72"/>
      <c r="P196" s="72"/>
      <c r="Q196" s="75"/>
      <c r="R196" s="75"/>
      <c r="S196" s="75"/>
      <c r="T196" s="75"/>
      <c r="U196" s="75"/>
      <c r="V196" s="75"/>
      <c r="W196" s="33"/>
      <c r="X196" s="33"/>
      <c r="Y196" s="33"/>
    </row>
    <row r="197" spans="2:25" ht="293.25" x14ac:dyDescent="0.25">
      <c r="B197" s="35" t="str">
        <f>'[1]1 lentelė'!B199</f>
        <v xml:space="preserve"> 3.2.5.1.3</v>
      </c>
      <c r="C197" s="35" t="str">
        <f>'[1]1 lentelė'!C199</f>
        <v>R099920-490000-3231</v>
      </c>
      <c r="D197" s="35" t="str">
        <f>'[1]1 lentelė'!D199</f>
        <v>Paslaugų ir asmenų aptarnavimo kokybės gerinimas Zarasų rajono savivaldybėje</v>
      </c>
      <c r="E197" s="58" t="s">
        <v>1455</v>
      </c>
      <c r="F197" s="58" t="s">
        <v>1456</v>
      </c>
      <c r="G197" s="58">
        <v>13</v>
      </c>
      <c r="H197" s="58" t="s">
        <v>1457</v>
      </c>
      <c r="I197" s="58" t="s">
        <v>1458</v>
      </c>
      <c r="J197" s="58">
        <v>25</v>
      </c>
      <c r="K197" s="58" t="s">
        <v>1459</v>
      </c>
      <c r="L197" s="58" t="s">
        <v>1460</v>
      </c>
      <c r="M197" s="58">
        <v>1</v>
      </c>
      <c r="N197" s="72"/>
      <c r="O197" s="72"/>
      <c r="P197" s="72"/>
      <c r="Q197" s="75"/>
      <c r="R197" s="75"/>
      <c r="S197" s="75"/>
      <c r="T197" s="75"/>
      <c r="U197" s="75"/>
      <c r="V197" s="75"/>
      <c r="W197" s="33"/>
      <c r="X197" s="33"/>
      <c r="Y197" s="33"/>
    </row>
    <row r="198" spans="2:25" ht="269.25" customHeight="1" x14ac:dyDescent="0.25">
      <c r="B198" s="35" t="str">
        <f>'[1]1 lentelė'!B200</f>
        <v>3.2.5.1.4</v>
      </c>
      <c r="C198" s="35" t="str">
        <f>'[1]1 lentelė'!C200</f>
        <v>R099920-490000-3232</v>
      </c>
      <c r="D198" s="35" t="str">
        <f>'[1]1 lentelė'!D200</f>
        <v>Paslaugų ir asmenų aptarnavimo kokybės gerinimas Utenos rajono savivaldybėje, I etapas</v>
      </c>
      <c r="E198" s="58" t="s">
        <v>1455</v>
      </c>
      <c r="F198" s="58" t="s">
        <v>1456</v>
      </c>
      <c r="G198" s="58">
        <v>3</v>
      </c>
      <c r="H198" s="58" t="s">
        <v>1457</v>
      </c>
      <c r="I198" s="58" t="s">
        <v>1461</v>
      </c>
      <c r="J198" s="58">
        <v>15</v>
      </c>
      <c r="K198" s="58" t="s">
        <v>220</v>
      </c>
      <c r="L198" s="58"/>
      <c r="M198" s="58"/>
      <c r="N198" s="72"/>
      <c r="O198" s="72"/>
      <c r="P198" s="72"/>
      <c r="Q198" s="75"/>
      <c r="R198" s="75"/>
      <c r="S198" s="75"/>
      <c r="T198" s="75"/>
      <c r="U198" s="75"/>
      <c r="V198" s="75"/>
      <c r="W198" s="33"/>
      <c r="X198" s="33"/>
      <c r="Y198" s="33"/>
    </row>
    <row r="199" spans="2:25" ht="268.5" customHeight="1" x14ac:dyDescent="0.25">
      <c r="B199" s="35" t="str">
        <f>'[1]1 lentelė'!B201</f>
        <v xml:space="preserve"> 3.2.5.1.5</v>
      </c>
      <c r="C199" s="35" t="str">
        <f>'[1]1 lentelė'!C201</f>
        <v>R099920-490000-3233</v>
      </c>
      <c r="D199" s="35" t="str">
        <f>'[1]1 lentelė'!D201</f>
        <v>Paslaugų ir asmenų aptarnavimo kokybės gerinimas Anykščių savivaldybėje</v>
      </c>
      <c r="E199" s="58" t="s">
        <v>1455</v>
      </c>
      <c r="F199" s="58" t="s">
        <v>1456</v>
      </c>
      <c r="G199" s="58">
        <v>2</v>
      </c>
      <c r="H199" s="58" t="s">
        <v>1457</v>
      </c>
      <c r="I199" s="58" t="s">
        <v>1461</v>
      </c>
      <c r="J199" s="32">
        <v>36</v>
      </c>
      <c r="K199" s="58" t="s">
        <v>1459</v>
      </c>
      <c r="L199" s="58" t="s">
        <v>1460</v>
      </c>
      <c r="M199" s="58">
        <v>1</v>
      </c>
      <c r="N199" s="72"/>
      <c r="O199" s="72"/>
      <c r="P199" s="72"/>
      <c r="Q199" s="75"/>
      <c r="R199" s="75"/>
      <c r="S199" s="75"/>
      <c r="T199" s="75"/>
      <c r="U199" s="75"/>
      <c r="V199" s="75"/>
      <c r="W199" s="33"/>
      <c r="X199" s="33"/>
      <c r="Y199" s="33"/>
    </row>
    <row r="200" spans="2:25" ht="293.25" x14ac:dyDescent="0.25">
      <c r="B200" s="35" t="str">
        <f>'[1]1 lentelė'!B202</f>
        <v xml:space="preserve"> 3.2.5.1.6</v>
      </c>
      <c r="C200" s="35" t="str">
        <f>'[1]1 lentelė'!C202</f>
        <v>R099920-490000-3234</v>
      </c>
      <c r="D200" s="35" t="str">
        <f>'[1]1 lentelė'!D202</f>
        <v>Paslaugų ir asmenų aptarnavimo kokybės gerinimas Ignalinos rajono savivaldybėje</v>
      </c>
      <c r="E200" s="58" t="s">
        <v>1455</v>
      </c>
      <c r="F200" s="58" t="s">
        <v>1456</v>
      </c>
      <c r="G200" s="58">
        <v>2</v>
      </c>
      <c r="H200" s="58" t="s">
        <v>1457</v>
      </c>
      <c r="I200" s="58" t="s">
        <v>1461</v>
      </c>
      <c r="J200" s="32">
        <v>85</v>
      </c>
      <c r="K200" s="32" t="s">
        <v>1459</v>
      </c>
      <c r="L200" s="32" t="s">
        <v>1460</v>
      </c>
      <c r="M200" s="32">
        <v>1</v>
      </c>
      <c r="N200" s="32"/>
      <c r="O200" s="32"/>
      <c r="P200" s="32"/>
      <c r="Q200" s="32"/>
      <c r="R200" s="32"/>
      <c r="S200" s="32"/>
      <c r="T200" s="75"/>
      <c r="U200" s="75"/>
      <c r="V200" s="75"/>
      <c r="W200" s="33"/>
      <c r="X200" s="33"/>
      <c r="Y200" s="33"/>
    </row>
    <row r="201" spans="2:25" ht="293.25" x14ac:dyDescent="0.25">
      <c r="B201" s="35" t="str">
        <f>'[1]1 lentelė'!B203</f>
        <v>3.2.5.1.8</v>
      </c>
      <c r="C201" s="35" t="str">
        <f>'[1]1 lentelė'!C203</f>
        <v>R099920-490000-3236</v>
      </c>
      <c r="D201" s="35" t="str">
        <f>'[1]1 lentelė'!D203</f>
        <v>Paslaugų ir asmenų aptarnavimo kokybės gerinimas Utenos rajono seniūnijose</v>
      </c>
      <c r="E201" s="32" t="s">
        <v>1455</v>
      </c>
      <c r="F201" s="29" t="s">
        <v>1456</v>
      </c>
      <c r="G201" s="29">
        <v>10</v>
      </c>
      <c r="H201" s="32" t="s">
        <v>1457</v>
      </c>
      <c r="I201" s="32" t="s">
        <v>1461</v>
      </c>
      <c r="J201" s="29">
        <v>20</v>
      </c>
      <c r="K201" s="61"/>
      <c r="L201" s="61"/>
      <c r="M201" s="61"/>
      <c r="N201" s="61"/>
      <c r="O201" s="61"/>
      <c r="P201" s="61"/>
      <c r="Q201" s="144"/>
      <c r="R201" s="144"/>
      <c r="S201" s="144"/>
      <c r="T201" s="144"/>
      <c r="U201" s="144"/>
      <c r="V201" s="144"/>
      <c r="W201" s="6"/>
      <c r="X201" s="6"/>
      <c r="Y201" s="6"/>
    </row>
    <row r="202" spans="2:25" s="93" customFormat="1" x14ac:dyDescent="0.25">
      <c r="B202" s="94"/>
      <c r="P202" s="95"/>
      <c r="Q202" s="95"/>
      <c r="R202" s="95"/>
      <c r="S202" s="95"/>
    </row>
    <row r="204" spans="2:25" ht="36.75" customHeight="1" x14ac:dyDescent="0.25"/>
    <row r="205" spans="2:25" ht="36.75" customHeight="1" x14ac:dyDescent="0.25"/>
    <row r="206" spans="2:25" ht="36.75" customHeight="1" x14ac:dyDescent="0.25"/>
    <row r="207" spans="2:25" ht="36.75" customHeight="1" x14ac:dyDescent="0.25"/>
    <row r="208" spans="2:25" ht="36.75" customHeight="1" x14ac:dyDescent="0.25"/>
    <row r="209" spans="2:22" hidden="1" x14ac:dyDescent="0.25">
      <c r="B209" s="1" t="s">
        <v>867</v>
      </c>
      <c r="G209" s="84">
        <f>SUBTOTAL(9,G9:G199)</f>
        <v>1033586.8559999997</v>
      </c>
      <c r="H209" s="84"/>
      <c r="I209" s="84"/>
      <c r="J209" s="84">
        <f t="shared" ref="J209:V209" si="2">SUBTOTAL(9,J9:J199)</f>
        <v>13959.718000000001</v>
      </c>
      <c r="K209" s="84"/>
      <c r="L209" s="84"/>
      <c r="M209" s="84">
        <f t="shared" si="2"/>
        <v>3438.886</v>
      </c>
      <c r="N209" s="84"/>
      <c r="O209" s="84"/>
      <c r="P209" s="84">
        <f t="shared" si="2"/>
        <v>1423.74</v>
      </c>
      <c r="Q209" s="84"/>
      <c r="R209" s="84"/>
      <c r="S209" s="84">
        <f t="shared" si="2"/>
        <v>1123</v>
      </c>
      <c r="T209" s="84"/>
      <c r="U209" s="84"/>
      <c r="V209" s="84">
        <f t="shared" si="2"/>
        <v>2221</v>
      </c>
    </row>
  </sheetData>
  <autoFilter ref="E8:V199"/>
  <mergeCells count="4">
    <mergeCell ref="C7:C8"/>
    <mergeCell ref="D7:D8"/>
    <mergeCell ref="B7:B8"/>
    <mergeCell ref="E7:V7"/>
  </mergeCells>
  <pageMargins left="0.25" right="0.25" top="0.75" bottom="0.75" header="0.3" footer="0.3"/>
  <pageSetup paperSize="8"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1"/>
  <sheetViews>
    <sheetView zoomScaleNormal="100" workbookViewId="0">
      <pane ySplit="8" topLeftCell="A9" activePane="bottomLeft" state="frozen"/>
      <selection pane="bottomLeft" activeCell="D224" sqref="D224"/>
    </sheetView>
  </sheetViews>
  <sheetFormatPr defaultRowHeight="15.75" x14ac:dyDescent="0.25"/>
  <cols>
    <col min="1" max="1" width="4.42578125" style="1" customWidth="1"/>
    <col min="2" max="2" width="9.42578125" style="1" customWidth="1"/>
    <col min="3" max="3" width="9.140625" style="1"/>
    <col min="4" max="4" width="28" style="1" customWidth="1"/>
    <col min="5" max="5" width="52" style="4" customWidth="1"/>
    <col min="6" max="6" width="9.140625" style="1" customWidth="1"/>
    <col min="7" max="16384" width="9.140625" style="1"/>
  </cols>
  <sheetData>
    <row r="1" spans="2:21" ht="15.75" customHeight="1" x14ac:dyDescent="0.25">
      <c r="C1" s="6"/>
      <c r="D1" s="6"/>
      <c r="E1" s="2" t="s">
        <v>9</v>
      </c>
      <c r="F1" s="7"/>
      <c r="G1" s="7"/>
    </row>
    <row r="2" spans="2:21" x14ac:dyDescent="0.25">
      <c r="C2" s="6"/>
      <c r="D2" s="6"/>
      <c r="E2" s="3" t="s">
        <v>1</v>
      </c>
      <c r="F2" s="8"/>
      <c r="G2" s="8"/>
    </row>
    <row r="3" spans="2:21" x14ac:dyDescent="0.25">
      <c r="C3" s="6"/>
      <c r="D3" s="6"/>
      <c r="E3" s="3" t="s">
        <v>2</v>
      </c>
      <c r="F3" s="8"/>
      <c r="G3" s="8"/>
    </row>
    <row r="4" spans="2:21" x14ac:dyDescent="0.25">
      <c r="C4" s="6"/>
      <c r="D4" s="6"/>
      <c r="F4" s="6"/>
      <c r="G4" s="6"/>
    </row>
    <row r="5" spans="2:21" x14ac:dyDescent="0.25">
      <c r="B5" s="5" t="s">
        <v>34</v>
      </c>
      <c r="D5" s="6"/>
      <c r="E5" s="6"/>
      <c r="F5" s="6"/>
      <c r="G5" s="6"/>
      <c r="H5" s="6"/>
      <c r="I5" s="6"/>
      <c r="K5" s="8"/>
      <c r="L5" s="8"/>
      <c r="M5" s="8"/>
      <c r="O5" s="8"/>
      <c r="P5" s="8"/>
      <c r="Q5" s="8"/>
    </row>
    <row r="6" spans="2:21" x14ac:dyDescent="0.25">
      <c r="B6" s="5"/>
      <c r="D6" s="6"/>
      <c r="E6" s="6"/>
      <c r="F6" s="6"/>
      <c r="G6" s="6"/>
      <c r="H6" s="6"/>
      <c r="I6" s="6"/>
      <c r="K6" s="8"/>
      <c r="L6" s="8"/>
      <c r="M6" s="8"/>
      <c r="O6" s="8"/>
      <c r="P6" s="8"/>
      <c r="Q6" s="8"/>
    </row>
    <row r="7" spans="2:21" x14ac:dyDescent="0.25">
      <c r="B7" s="9" t="s">
        <v>48</v>
      </c>
      <c r="D7" s="6"/>
      <c r="F7" s="6"/>
      <c r="G7" s="6"/>
    </row>
    <row r="8" spans="2:21" ht="30" customHeight="1" x14ac:dyDescent="0.25">
      <c r="B8" s="14" t="s">
        <v>19</v>
      </c>
      <c r="C8" s="12" t="s">
        <v>17</v>
      </c>
      <c r="D8" s="12" t="s">
        <v>14</v>
      </c>
      <c r="E8" s="12" t="s">
        <v>44</v>
      </c>
      <c r="F8" s="6"/>
    </row>
    <row r="9" spans="2:21" ht="24" customHeight="1" x14ac:dyDescent="0.25">
      <c r="B9" s="21" t="s">
        <v>0</v>
      </c>
      <c r="C9" s="21"/>
      <c r="D9" s="21" t="s">
        <v>50</v>
      </c>
      <c r="E9" s="11"/>
      <c r="F9" s="6"/>
    </row>
    <row r="10" spans="2:21" ht="89.25" x14ac:dyDescent="0.25">
      <c r="B10" s="23" t="s">
        <v>51</v>
      </c>
      <c r="C10" s="24"/>
      <c r="D10" s="23" t="s">
        <v>52</v>
      </c>
      <c r="E10" s="23"/>
      <c r="F10" s="6"/>
    </row>
    <row r="11" spans="2:21" ht="51" x14ac:dyDescent="0.25">
      <c r="B11" s="25" t="s">
        <v>53</v>
      </c>
      <c r="C11" s="26"/>
      <c r="D11" s="26" t="s">
        <v>54</v>
      </c>
      <c r="E11" s="26"/>
      <c r="F11" s="6"/>
    </row>
    <row r="12" spans="2:21" ht="25.5" x14ac:dyDescent="0.25">
      <c r="B12" s="27" t="s">
        <v>55</v>
      </c>
      <c r="C12" s="27"/>
      <c r="D12" s="27" t="s">
        <v>56</v>
      </c>
      <c r="E12" s="27"/>
      <c r="F12" s="6"/>
    </row>
    <row r="13" spans="2:21" ht="264" x14ac:dyDescent="0.25">
      <c r="B13" s="35" t="str">
        <f>'[3]1 lentelė'!B13</f>
        <v>1.1.1.1.1</v>
      </c>
      <c r="C13" s="35" t="str">
        <f>'[3]1 lentelė'!C13</f>
        <v>R099905-342900-1101</v>
      </c>
      <c r="D13" s="35" t="str">
        <f>'[3]1 lentelė'!D13</f>
        <v>Anykščių miesto viešųjų erdvių sistemos pertvarkymas (I etapas)</v>
      </c>
      <c r="E13" s="83" t="s">
        <v>761</v>
      </c>
      <c r="F13" s="6"/>
    </row>
    <row r="14" spans="2:21" ht="216" x14ac:dyDescent="0.25">
      <c r="B14" s="35" t="str">
        <f>'[3]1 lentelė'!B14</f>
        <v>1.1.1.1.2</v>
      </c>
      <c r="C14" s="35" t="str">
        <f>'[3]1 lentelė'!C14</f>
        <v>R099905-280000-1102</v>
      </c>
      <c r="D14" s="35" t="str">
        <f>'[3]1 lentelė'!D14</f>
        <v xml:space="preserve">Anykščių miesto viešųjų erdvių sistemos pertvarkymas (II etapas) </v>
      </c>
      <c r="E14" s="83" t="s">
        <v>757</v>
      </c>
      <c r="F14" s="6"/>
    </row>
    <row r="15" spans="2:21" ht="255" customHeight="1" x14ac:dyDescent="0.25">
      <c r="B15" s="35" t="str">
        <f>'[3]1 lentelė'!B15</f>
        <v>1.1.1.1.3</v>
      </c>
      <c r="C15" s="35" t="str">
        <f>'[3]1 lentelė'!C15</f>
        <v>R099905-320000-1103</v>
      </c>
      <c r="D15" s="35" t="str">
        <f>'[3]1 lentelė'!D15</f>
        <v xml:space="preserve">Bendruomeninės aktyvaus laisvalaikio infrastruktūros įrengimas Anykščių mieste  </v>
      </c>
      <c r="E15" s="83" t="s">
        <v>756</v>
      </c>
      <c r="F15" s="6"/>
      <c r="U15" s="1" t="s">
        <v>769</v>
      </c>
    </row>
    <row r="16" spans="2:21" ht="300" x14ac:dyDescent="0.25">
      <c r="B16" s="35" t="str">
        <f>'[3]1 lentelė'!B16</f>
        <v xml:space="preserve">1.1.1.1.4   </v>
      </c>
      <c r="C16" s="35" t="str">
        <f>'[3]1 lentelė'!C16</f>
        <v>R099905-302804-1104</v>
      </c>
      <c r="D16" s="35" t="str">
        <f>'[3]1 lentelė'!D16</f>
        <v xml:space="preserve">Anykščių miesto viešųjų erdvių sistemos pertvarkymas (III etapas) </v>
      </c>
      <c r="E16" s="15" t="s">
        <v>767</v>
      </c>
      <c r="F16" s="6"/>
      <c r="U16" s="1" t="s">
        <v>766</v>
      </c>
    </row>
    <row r="17" spans="2:21" ht="144" x14ac:dyDescent="0.25">
      <c r="B17" s="35" t="str">
        <f>'[3]1 lentelė'!B17</f>
        <v>1.1.1.1.5</v>
      </c>
      <c r="C17" s="35" t="str">
        <f>'[3]1 lentelė'!C17</f>
        <v>R099905-290000-1105</v>
      </c>
      <c r="D17" s="35" t="str">
        <f>'[3]1 lentelė'!D17</f>
        <v>Molėtų miesto Ąžuolų ir Kreivosios gatvių teritorijų išnaudojimas įrengiant universalią daugiafunkcinę aikštę</v>
      </c>
      <c r="E17" s="83" t="s">
        <v>754</v>
      </c>
      <c r="F17" s="6"/>
    </row>
    <row r="18" spans="2:21" ht="144" x14ac:dyDescent="0.25">
      <c r="B18" s="35" t="str">
        <f>'[3]1 lentelė'!B18</f>
        <v>1.1.1.1.6</v>
      </c>
      <c r="C18" s="35" t="str">
        <f>'[3]1 lentelė'!C18</f>
        <v>R099905-302900-1106</v>
      </c>
      <c r="D18" s="35" t="str">
        <f>'[3]1 lentelė'!D18</f>
        <v>Molėtų miesto centrinės dalies kompleksinis sutvarkymas (II etapas)</v>
      </c>
      <c r="E18" s="83" t="s">
        <v>764</v>
      </c>
      <c r="F18" s="6"/>
    </row>
    <row r="19" spans="2:21" ht="108" x14ac:dyDescent="0.25">
      <c r="B19" s="35" t="str">
        <f>'[3]1 lentelė'!B19</f>
        <v>1.1.1.1.7</v>
      </c>
      <c r="C19" s="35" t="str">
        <f>'[3]1 lentelė'!C19</f>
        <v>R099905-293400-1107</v>
      </c>
      <c r="D19" s="35" t="str">
        <f>'[3]1 lentelė'!D19</f>
        <v>Prekybos ir paslaugų pasažo įrengimas D. Bukonto gatvėje Zarasų mieste</v>
      </c>
      <c r="E19" s="83" t="s">
        <v>1087</v>
      </c>
      <c r="F19" s="6"/>
      <c r="U19" s="1" t="s">
        <v>766</v>
      </c>
    </row>
    <row r="20" spans="2:21" ht="168" x14ac:dyDescent="0.25">
      <c r="B20" s="35" t="str">
        <f>'[3]1 lentelė'!B20</f>
        <v xml:space="preserve">1.1.1.1.8 </v>
      </c>
      <c r="C20" s="35" t="str">
        <f>'[3]1 lentelė'!C20</f>
        <v>R099905-290000-1108</v>
      </c>
      <c r="D20" s="35" t="str">
        <f>'[3]1 lentelė'!D20</f>
        <v xml:space="preserve">Zarasų miesto viešųjų erdvių kompleksinis sutvarkymas teritorijoje tarp Dariaus ir Girėno g. bei Šiaulių g. ir dviejuose daugiabučių kiemuose P. Širvio gatvėje </v>
      </c>
      <c r="E20" s="83" t="s">
        <v>760</v>
      </c>
    </row>
    <row r="21" spans="2:21" ht="228" x14ac:dyDescent="0.25">
      <c r="B21" s="35" t="str">
        <f>'[3]1 lentelė'!B21</f>
        <v>1.1.1.1.9</v>
      </c>
      <c r="C21" s="35" t="str">
        <f>'[3]1 lentelė'!C21</f>
        <v>R099905-290000-1119</v>
      </c>
      <c r="D21" s="35" t="str">
        <f>'[3]1 lentelė'!D21</f>
        <v xml:space="preserve">Molėtų miesto centrinės dalies kompleksinis sutvarkymas (I etapas) </v>
      </c>
      <c r="E21" s="83" t="s">
        <v>762</v>
      </c>
    </row>
    <row r="22" spans="2:21" ht="276" x14ac:dyDescent="0.25">
      <c r="B22" s="35" t="str">
        <f>'[3]1 lentelė'!B22</f>
        <v xml:space="preserve">1.1.1.1.10 </v>
      </c>
      <c r="C22" s="35" t="str">
        <f>'[3]1 lentelė'!C22</f>
        <v>R099905-282900-1110</v>
      </c>
      <c r="D22" s="35" t="str">
        <f>'[3]1 lentelė'!D22</f>
        <v xml:space="preserve">Viešųjų erdvių Zarasų miesto Didžiojoje saloje sutvarkymas </v>
      </c>
      <c r="E22" s="83" t="s">
        <v>759</v>
      </c>
    </row>
    <row r="23" spans="2:21" ht="168" x14ac:dyDescent="0.25">
      <c r="B23" s="35" t="str">
        <f>'[3]1 lentelė'!B23</f>
        <v xml:space="preserve">1.1.1.1.11 </v>
      </c>
      <c r="C23" s="35" t="str">
        <f>'[3]1 lentelė'!C23</f>
        <v>R099905-282900-1111</v>
      </c>
      <c r="D23" s="35" t="str">
        <f>'[3]1 lentelė'!D23</f>
        <v xml:space="preserve">Viešųjų erdvių prie Zarasaičio ežero sutvarkymas ir aktyvaus poilsio infrastruktūros įrengimas </v>
      </c>
      <c r="E23" s="83" t="s">
        <v>765</v>
      </c>
      <c r="U23" s="1" t="s">
        <v>766</v>
      </c>
    </row>
    <row r="24" spans="2:21" ht="243.75" customHeight="1" x14ac:dyDescent="0.25">
      <c r="B24" s="35" t="str">
        <f>'[3]1 lentelė'!B24</f>
        <v>1.1.1.1.12</v>
      </c>
      <c r="C24" s="35" t="str">
        <f>'[3]1 lentelė'!C24</f>
        <v>R099905-281900-1112</v>
      </c>
      <c r="D24" s="35" t="str">
        <f>'[3]1 lentelė'!D24</f>
        <v xml:space="preserve">Viešosios aktyvaus laisvalaikio infrastruktūros plėtra Molėtų mieste, II etapas </v>
      </c>
      <c r="E24" s="83" t="s">
        <v>755</v>
      </c>
    </row>
    <row r="25" spans="2:21" ht="111.75" customHeight="1" x14ac:dyDescent="0.25">
      <c r="B25" s="35" t="str">
        <f>'[3]1 lentelė'!B25</f>
        <v>1.1.1.1.13</v>
      </c>
      <c r="C25" s="35" t="str">
        <f>'[3]1 lentelė'!C25</f>
        <v>R099905-302900-1113</v>
      </c>
      <c r="D25" s="35" t="str">
        <f>'[3]1 lentelė'!D25</f>
        <v xml:space="preserve">Molėtų miesto J. Janonio g. gyvenamojo kvartalo viešosios infrastruktūros sutvarkymas </v>
      </c>
      <c r="E25" s="83" t="s">
        <v>763</v>
      </c>
      <c r="U25" s="1" t="s">
        <v>768</v>
      </c>
    </row>
    <row r="26" spans="2:21" ht="108" x14ac:dyDescent="0.25">
      <c r="B26" s="35" t="str">
        <f>'[3]1 lentelė'!B26</f>
        <v xml:space="preserve">1.1.1.1.14 </v>
      </c>
      <c r="C26" s="35" t="str">
        <f>'[3]1 lentelė'!C26</f>
        <v>R099905-243200-1114</v>
      </c>
      <c r="D26" s="35" t="str">
        <f>'[3]1 lentelė'!D26</f>
        <v xml:space="preserve">Zarasų Pauliaus Širvio progimnazijos sporto aikštyno įrengimas </v>
      </c>
      <c r="E26" s="83" t="s">
        <v>758</v>
      </c>
    </row>
    <row r="27" spans="2:21" ht="25.5" x14ac:dyDescent="0.25">
      <c r="B27" s="27" t="str">
        <f>'[3]1 lentelė'!B27</f>
        <v>1.1.1.2</v>
      </c>
      <c r="C27" s="27"/>
      <c r="D27" s="27" t="str">
        <f>'[3]1 lentelė'!D27</f>
        <v>Priemonė: Pereinamojo laikotarpio tikslinių teritorijų vystymas</v>
      </c>
      <c r="E27" s="27"/>
    </row>
    <row r="28" spans="2:21" ht="79.5" customHeight="1" x14ac:dyDescent="0.25">
      <c r="B28" s="35" t="str">
        <f>'[3]1 lentelė'!B28</f>
        <v>1.1.1.2.1</v>
      </c>
      <c r="C28" s="35" t="str">
        <f>'[3]1 lentelė'!C28</f>
        <v>R099903-300000-1115</v>
      </c>
      <c r="D28" s="35" t="str">
        <f>'[3]1 lentelė'!D28</f>
        <v xml:space="preserve">Daugiabučių namų kvartalų Ignalinos mieste kompleksinis sutvarkymas </v>
      </c>
      <c r="E28" s="83" t="s">
        <v>770</v>
      </c>
    </row>
    <row r="29" spans="2:21" ht="183.75" customHeight="1" x14ac:dyDescent="0.25">
      <c r="B29" s="35" t="str">
        <f>'[3]1 lentelė'!B29</f>
        <v>1.1.1.2.2</v>
      </c>
      <c r="C29" s="35" t="str">
        <f>'[3]1 lentelė'!C29</f>
        <v>R099902-310000-1116</v>
      </c>
      <c r="D29" s="35" t="str">
        <f>'[3]1 lentelė'!D29</f>
        <v xml:space="preserve">Apleistų/avarinių pastatų nugriovimas ir teritorijos valymas, regeneruojant buvusį karinį miestelį </v>
      </c>
      <c r="E29" s="83" t="s">
        <v>772</v>
      </c>
    </row>
    <row r="30" spans="2:21" ht="288" x14ac:dyDescent="0.25">
      <c r="B30" s="35" t="str">
        <f>'[3]1 lentelė'!B30</f>
        <v>1.1.1.2.3</v>
      </c>
      <c r="C30" s="35" t="str">
        <f>'[3]1 lentelė'!C30</f>
        <v>R099902-300000-1117</v>
      </c>
      <c r="D30" s="35" t="str">
        <f>'[3]1 lentelė'!D30</f>
        <v xml:space="preserve">Dauniškio daugiabučių namų kvartalo teritorijos sutvarkymas </v>
      </c>
      <c r="E30" s="83" t="s">
        <v>771</v>
      </c>
      <c r="U30" s="1" t="s">
        <v>769</v>
      </c>
    </row>
    <row r="31" spans="2:21" ht="76.5" x14ac:dyDescent="0.25">
      <c r="B31" s="26" t="str">
        <f>'[3]1 lentelė'!B31</f>
        <v xml:space="preserve">1.1.2 </v>
      </c>
      <c r="C31" s="26">
        <f>'[3]1 lentelė'!C31</f>
        <v>0</v>
      </c>
      <c r="D31" s="26" t="str">
        <f>'[3]1 lentelė'!D31</f>
        <v>Uždavinys: Kompleksiškai atnaujinti 1-6 tūkst. gyventojų turinčių miestų (išskyrus savivaldybių centrus), miestelių ir kaimų bendruomeninę ir viešąją infrastruktūrą</v>
      </c>
      <c r="E31" s="26"/>
    </row>
    <row r="32" spans="2:21" ht="25.5" x14ac:dyDescent="0.25">
      <c r="B32" s="27" t="str">
        <f>'[3]1 lentelė'!B32</f>
        <v>1.1.2.1</v>
      </c>
      <c r="C32" s="27">
        <f>'[3]1 lentelė'!C32</f>
        <v>0</v>
      </c>
      <c r="D32" s="27" t="str">
        <f>'[3]1 lentelė'!D32</f>
        <v>Priemonė: Kaimo gyvenamųjų vietovių atnaujinimas</v>
      </c>
      <c r="E32" s="27"/>
    </row>
    <row r="33" spans="2:21" ht="228" x14ac:dyDescent="0.25">
      <c r="B33" s="35" t="str">
        <f>'[3]1 lentelė'!B33</f>
        <v>1.1.2.1.1</v>
      </c>
      <c r="C33" s="35" t="str">
        <f>'[3]1 lentelė'!C33</f>
        <v xml:space="preserve"> R099908-293300-1118</v>
      </c>
      <c r="D33" s="35" t="str">
        <f>'[3]1 lentelė'!D33</f>
        <v>Didžiasalio kaimo viešųjų erdvių atnaujinimas ir pastato dalies patalpų pritaikymas bendruomenės poreikiams</v>
      </c>
      <c r="E33" s="83" t="s">
        <v>773</v>
      </c>
      <c r="U33" s="1" t="s">
        <v>769</v>
      </c>
    </row>
    <row r="34" spans="2:21" ht="76.5" x14ac:dyDescent="0.25">
      <c r="B34" s="79" t="str">
        <f>'[3]1 lentelė'!B34</f>
        <v xml:space="preserve">1.1.3 </v>
      </c>
      <c r="C34" s="79">
        <f>'[3]1 lentelė'!C34</f>
        <v>0</v>
      </c>
      <c r="D34" s="79" t="str">
        <f>'[3]1 lentelė'!D34</f>
        <v>Uždavinys: Kompleksiškai atnaujinti mažiau kaip 1 tūkst. gyventojų turinčių miestų, miestelių ir kaimų (iki 1 tūkst. gyv.) viešąją infrastruktūrą (taikant kaimo plėtros politikos priemones)</v>
      </c>
      <c r="E34" s="48"/>
    </row>
    <row r="35" spans="2:21" ht="38.25" x14ac:dyDescent="0.25">
      <c r="B35" s="50" t="str">
        <f>'[3]1 lentelė'!B35</f>
        <v xml:space="preserve">1.1.3.1 </v>
      </c>
      <c r="C35" s="50"/>
      <c r="D35" s="50" t="str">
        <f>'[3]1 lentelė'!D35</f>
        <v>Priemonė (KPP veiklos sritis): Parama investicijoms į visų rūšių mažos apimties infrastruktūrą</v>
      </c>
      <c r="E35" s="50"/>
    </row>
    <row r="36" spans="2:21" ht="51" x14ac:dyDescent="0.25">
      <c r="B36" s="50" t="str">
        <f>'[3]1 lentelė'!B36</f>
        <v>1.1.3.2</v>
      </c>
      <c r="C36" s="50"/>
      <c r="D36" s="50" t="str">
        <f>'[3]1 lentelė'!D36</f>
        <v>Priemonė (KPP veiklos sritis): Parama investicijoms į kaimo kultūros ir gamtos paveldą, kraštovaizdį</v>
      </c>
      <c r="E36" s="50"/>
    </row>
    <row r="37" spans="2:21" ht="38.25" x14ac:dyDescent="0.25">
      <c r="B37" s="334" t="str">
        <f>'[3]1 lentelė'!B37</f>
        <v xml:space="preserve">1.2 </v>
      </c>
      <c r="C37" s="334"/>
      <c r="D37" s="334" t="str">
        <f>'[3]1 lentelė'!D37</f>
        <v>Tikslas: Modernios regiono transporto infrastruktūros ir darnaus judumo plėtojimas</v>
      </c>
      <c r="E37" s="51"/>
    </row>
    <row r="38" spans="2:21" ht="38.25" x14ac:dyDescent="0.25">
      <c r="B38" s="79" t="str">
        <f>'[3]1 lentelė'!B38</f>
        <v xml:space="preserve">1.2.1 </v>
      </c>
      <c r="C38" s="79"/>
      <c r="D38" s="79" t="str">
        <f>'[3]1 lentelė'!D38</f>
        <v>Uždavinys: Kompleksiškai modernizuoti kelių transporto infrastruktūrą</v>
      </c>
      <c r="E38" s="48"/>
    </row>
    <row r="39" spans="2:21" ht="15" x14ac:dyDescent="0.25">
      <c r="B39" s="50" t="str">
        <f>'[3]1 lentelė'!B39</f>
        <v>1.2.1.1</v>
      </c>
      <c r="C39" s="50"/>
      <c r="D39" s="50" t="str">
        <f>'[3]1 lentelė'!D39</f>
        <v>Priemonė:Vietinių kelių vystymas</v>
      </c>
      <c r="E39" s="50"/>
    </row>
    <row r="40" spans="2:21" ht="87" customHeight="1" x14ac:dyDescent="0.25">
      <c r="B40" s="35" t="str">
        <f>'[3]1 lentelė'!B40</f>
        <v>1.2.1.1.1</v>
      </c>
      <c r="C40" s="35" t="str">
        <f>'[3]1 lentelė'!C40</f>
        <v>R095511-110000-1201</v>
      </c>
      <c r="D40" s="35" t="str">
        <f>'[3]1 lentelė'!D40</f>
        <v>Gatvės Ignalinos miesto rekreacinėje zonoje tarp Gavio ežero ir Turistų gatvės įrengimas</v>
      </c>
      <c r="E40" s="83" t="s">
        <v>778</v>
      </c>
    </row>
    <row r="41" spans="2:21" ht="72" x14ac:dyDescent="0.25">
      <c r="B41" s="35" t="str">
        <f>'[3]1 lentelė'!B41</f>
        <v xml:space="preserve">1.2.1.1.2 </v>
      </c>
      <c r="C41" s="35" t="str">
        <f>'[3]1 lentelė'!C41</f>
        <v>R095511-120000-1202</v>
      </c>
      <c r="D41" s="35" t="str">
        <f>'[3]1 lentelė'!D41</f>
        <v>Zarasų gatvės rekonstrukcija Zarasų mieste</v>
      </c>
      <c r="E41" s="83" t="s">
        <v>1381</v>
      </c>
    </row>
    <row r="42" spans="2:21" ht="322.5" customHeight="1" x14ac:dyDescent="0.25">
      <c r="B42" s="35" t="str">
        <f>'[3]1 lentelė'!B42</f>
        <v>1.2.1.1.3</v>
      </c>
      <c r="C42" s="35" t="str">
        <f>'[3]1 lentelė'!C42</f>
        <v>R095511-121100-1203</v>
      </c>
      <c r="D42" s="35" t="str">
        <f>'[3]1 lentelė'!D42</f>
        <v xml:space="preserve">Susisiekimo sąlygų pagerinimas tarp kuriamų Anykščių miesto traukos centrų bei patogus gyvenamosios aplinkos pasiekiamumo užtikrinimas. </v>
      </c>
      <c r="E42" s="83" t="s">
        <v>774</v>
      </c>
    </row>
    <row r="43" spans="2:21" ht="279" customHeight="1" x14ac:dyDescent="0.25">
      <c r="B43" s="35" t="str">
        <f>'[3]1 lentelė'!B43</f>
        <v>1.2.1.1.4</v>
      </c>
      <c r="C43" s="35" t="str">
        <f>'[3]1 lentelė'!C43</f>
        <v>R095511-120000-1204</v>
      </c>
      <c r="D43" s="35" t="str">
        <f>'[3]1 lentelė'!D43</f>
        <v>Gyvenamosios aplinkos pasiekiamumo gerinimas Zarasų mieste rekonstruojant K. Donelaičio gatvę</v>
      </c>
      <c r="E43" s="83" t="s">
        <v>776</v>
      </c>
    </row>
    <row r="44" spans="2:21" ht="156" x14ac:dyDescent="0.25">
      <c r="B44" s="35" t="str">
        <f>'[3]1 lentelė'!B44</f>
        <v>1.2.1.1.5</v>
      </c>
      <c r="C44" s="35" t="str">
        <f>'[3]1 lentelė'!C44</f>
        <v>R095511-120000-1205</v>
      </c>
      <c r="D44" s="35" t="str">
        <f>'[3]1 lentelė'!D44</f>
        <v xml:space="preserve">Molėtų miesto Pastovio g., Siesarties g. ir S. Nėries g. rekonstrukcija </v>
      </c>
      <c r="E44" s="83" t="s">
        <v>775</v>
      </c>
    </row>
    <row r="45" spans="2:21" ht="132" x14ac:dyDescent="0.25">
      <c r="B45" s="35" t="str">
        <f>'[3]1 lentelė'!B45</f>
        <v>1.2.1.1.6</v>
      </c>
      <c r="C45" s="35" t="str">
        <f>'[3]1 lentelė'!C45</f>
        <v>R095511-120000-1206</v>
      </c>
      <c r="D45" s="35" t="str">
        <f>'[3]1 lentelė'!D45</f>
        <v xml:space="preserve">Aušros gatvės dalies nuo Gedimino ir Tauragnų gatvių sankryžos iki Žaliosios gatvės Utenoje rekonstrukcija. </v>
      </c>
      <c r="E45" s="83" t="s">
        <v>777</v>
      </c>
    </row>
    <row r="46" spans="2:21" ht="114" customHeight="1" x14ac:dyDescent="0.25">
      <c r="B46" s="35" t="str">
        <f>'[3]1 lentelė'!B46</f>
        <v>1.2.1.1.7</v>
      </c>
      <c r="C46" s="35" t="str">
        <f>'[3]1 lentelė'!C46</f>
        <v>R095511-120000-1207</v>
      </c>
      <c r="D46" s="35" t="str">
        <f>'[3]1 lentelė'!D46</f>
        <v>Vietinės reikšmės kelio Visagino-Parko-Sedulinos al. kvartale rekonstravimas</v>
      </c>
      <c r="E46" s="83" t="s">
        <v>1382</v>
      </c>
    </row>
    <row r="47" spans="2:21" ht="60" x14ac:dyDescent="0.25">
      <c r="B47" s="35" t="str">
        <f>'[3]1 lentelė'!B47</f>
        <v>1.2.1.1.8</v>
      </c>
      <c r="C47" s="35" t="str">
        <f>'[3]1 lentelė'!C47</f>
        <v>R095511-120000-1208</v>
      </c>
      <c r="D47" s="35" t="str">
        <f>'[3]1 lentelė'!D47</f>
        <v>Gyvenamosios aplinkos pasiekiamumo gerinimas Zarasų mieste rekonstruojant E. Pliaterytės gatvę</v>
      </c>
      <c r="E47" s="83" t="s">
        <v>1383</v>
      </c>
    </row>
    <row r="48" spans="2:21" ht="96" x14ac:dyDescent="0.25">
      <c r="B48" s="35" t="str">
        <f>'[3]1 lentelė'!B48</f>
        <v>1.2.1.1.9</v>
      </c>
      <c r="C48" s="35" t="str">
        <f>'[3]1 lentelė'!C48</f>
        <v>R095511-120000-1220</v>
      </c>
      <c r="D48" s="35" t="str">
        <f>'[3]1 lentelė'!D48</f>
        <v>Eismo sąlygų pagerinimas ir gyvenamosios aplinkos pasiekiamumo užtikrinimas, rekonstruojant Žvejų gatvę Anykščių mieste</v>
      </c>
      <c r="E48" s="83" t="s">
        <v>1384</v>
      </c>
    </row>
    <row r="49" spans="2:21" ht="30.75" customHeight="1" x14ac:dyDescent="0.25">
      <c r="B49" s="35" t="str">
        <f>'[3]1 lentelė'!B49</f>
        <v>1.2.1.1.10</v>
      </c>
      <c r="C49" s="35" t="str">
        <f>'[3]1 lentelė'!C49</f>
        <v>R095511-120000-1221</v>
      </c>
      <c r="D49" s="35" t="str">
        <f>'[3]1 lentelė'!D49</f>
        <v>Ignalinos miesto Ligoninės gatvės dalies rekonstrukcija</v>
      </c>
      <c r="E49" s="83" t="s">
        <v>861</v>
      </c>
    </row>
    <row r="50" spans="2:21" ht="74.25" customHeight="1" x14ac:dyDescent="0.25">
      <c r="B50" s="35" t="str">
        <f>'[3]1 lentelė'!B50</f>
        <v>1.2.1.1.11</v>
      </c>
      <c r="C50" s="35" t="str">
        <f>'[3]1 lentelė'!C50</f>
        <v>R095511-120000-1222</v>
      </c>
      <c r="D50" s="35" t="str">
        <f>'[3]1 lentelė'!D50</f>
        <v>Saugaus eismo priemonių diegimas Ignalinos rajono keliuose</v>
      </c>
      <c r="E50" s="83" t="s">
        <v>862</v>
      </c>
    </row>
    <row r="51" spans="2:21" ht="60" x14ac:dyDescent="0.25">
      <c r="B51" s="35" t="str">
        <f>'[3]1 lentelė'!B51</f>
        <v>1.2.1.1.12</v>
      </c>
      <c r="C51" s="35" t="str">
        <f>'[3]1 lentelė'!C51</f>
        <v>R095511-120000-1223</v>
      </c>
      <c r="D51" s="35" t="str">
        <f>'[3]1 lentelė'!D51</f>
        <v>Saugaus eismo priemonių diegimas Molėtų rajono  Giedraičių miestelyje</v>
      </c>
      <c r="E51" s="83" t="s">
        <v>1385</v>
      </c>
    </row>
    <row r="52" spans="2:21" s="235" customFormat="1" ht="113.25" customHeight="1" x14ac:dyDescent="0.25">
      <c r="B52" s="35" t="str">
        <f>'[3]1 lentelė'!B52</f>
        <v>1.2.1.1.14</v>
      </c>
      <c r="C52" s="35" t="str">
        <f>'[3]1 lentelė'!C52</f>
        <v>R095511-120000-1225</v>
      </c>
      <c r="D52" s="35" t="str">
        <f>'[3]1 lentelė'!D52</f>
        <v>Saugaus eismo priemonių diegimas Žemaitės gatvėje Zarasų mieste</v>
      </c>
      <c r="E52" s="83" t="s">
        <v>1386</v>
      </c>
    </row>
    <row r="53" spans="2:21" ht="51" x14ac:dyDescent="0.25">
      <c r="B53" s="26" t="str">
        <f>'[3]1 lentelė'!B53</f>
        <v xml:space="preserve">1.2.2 </v>
      </c>
      <c r="C53" s="26"/>
      <c r="D53" s="26" t="str">
        <f>'[3]1 lentelė'!D53</f>
        <v>Uždavinys: Plėtoti  aplinką tausojančią ir eismo saugą didinančią infrastruktūrą ir priemones bei darnų judumą</v>
      </c>
      <c r="E53" s="26"/>
    </row>
    <row r="54" spans="2:21" ht="25.5" x14ac:dyDescent="0.25">
      <c r="B54" s="27" t="str">
        <f>'[3]1 lentelė'!B54</f>
        <v>1.2.2.1</v>
      </c>
      <c r="C54" s="27"/>
      <c r="D54" s="27" t="str">
        <f>'[3]1 lentelė'!D54</f>
        <v>Priemonė: Pėsčiųjų ir dviračių takų rekonstrukcija ir plėtra</v>
      </c>
      <c r="E54" s="27"/>
    </row>
    <row r="55" spans="2:21" ht="8.25" customHeight="1" x14ac:dyDescent="0.25">
      <c r="B55" s="226"/>
      <c r="C55" s="226"/>
      <c r="D55" s="226"/>
      <c r="E55" s="226"/>
      <c r="U55" s="1" t="s">
        <v>766</v>
      </c>
    </row>
    <row r="56" spans="2:21" ht="156" x14ac:dyDescent="0.25">
      <c r="B56" s="35" t="str">
        <f>'[3]1 lentelė'!B56</f>
        <v>1.2.2.1.3</v>
      </c>
      <c r="C56" s="35" t="str">
        <f>'[3]1 lentelė'!C56</f>
        <v>R095516-190000-1210</v>
      </c>
      <c r="D56" s="35" t="str">
        <f>'[3]1 lentelė'!D56</f>
        <v>Dviračių ir pėsčiųjų takų tinklo palei Ąžuolų g. iki mokyklų komplekso plėtra didinant atskirų Molėtų miesto teritorijų tarpusavio integraciją</v>
      </c>
      <c r="E56" s="83" t="s">
        <v>779</v>
      </c>
    </row>
    <row r="57" spans="2:21" ht="120" x14ac:dyDescent="0.25">
      <c r="B57" s="35" t="str">
        <f>'[3]1 lentelė'!B57</f>
        <v>1.2.2.1.4</v>
      </c>
      <c r="C57" s="35" t="str">
        <f>'[3]1 lentelė'!C57</f>
        <v>R095516-190000-1211</v>
      </c>
      <c r="D57" s="35" t="str">
        <f>'[3]1 lentelė'!D57</f>
        <v>Dviračių ir pėsčiųjų takų infrastruktūros Utenos mieste plėtra, siekiant pagerinti Pramonės rajono pasiekiamumą.</v>
      </c>
      <c r="E57" s="83" t="s">
        <v>781</v>
      </c>
    </row>
    <row r="58" spans="2:21" ht="120" x14ac:dyDescent="0.25">
      <c r="B58" s="35" t="str">
        <f>'[3]1 lentelė'!B58</f>
        <v xml:space="preserve">1.2.2.1.5 </v>
      </c>
      <c r="C58" s="35" t="str">
        <f>'[3]1 lentelė'!C58</f>
        <v>R095516-190000-1212</v>
      </c>
      <c r="D58" s="35" t="str">
        <f>'[3]1 lentelė'!D58</f>
        <v xml:space="preserve">Pėsčiųjų ir dviračių takų plėtra Griežto ežero pakrantėje nuo Vytauto gatvės iki Griežto gatvės </v>
      </c>
      <c r="E58" s="83" t="s">
        <v>780</v>
      </c>
    </row>
    <row r="59" spans="2:21" s="238" customFormat="1" ht="60" x14ac:dyDescent="0.25">
      <c r="B59" s="35" t="str">
        <f>'[3]1 lentelė'!B59</f>
        <v>1.2.2.1.6</v>
      </c>
      <c r="C59" s="35" t="str">
        <f>'[3]1 lentelė'!C59</f>
        <v>R095516-190000-1213</v>
      </c>
      <c r="D59" s="35" t="str">
        <f>'[3]1 lentelė'!D59</f>
        <v xml:space="preserve">Pėsčiųjų takų tinklo plėtra Dusetose, Zarasų rajone </v>
      </c>
      <c r="E59" s="83" t="s">
        <v>1387</v>
      </c>
    </row>
    <row r="60" spans="2:21" s="238" customFormat="1" ht="66" customHeight="1" x14ac:dyDescent="0.25">
      <c r="B60" s="35" t="str">
        <f>'[3]1 lentelė'!B60</f>
        <v>1.2.2.1.7</v>
      </c>
      <c r="C60" s="35" t="str">
        <f>'[3]1 lentelė'!C60</f>
        <v>R095516-190000-1214</v>
      </c>
      <c r="D60" s="35" t="str">
        <f>'[3]1 lentelė'!D60</f>
        <v>Susisiekimo sąlygų gerinimas Molėtų mieste įrengiant pėsčiųjų takus tarp Ąžuolų ir Melioratorių gatvių</v>
      </c>
      <c r="E60" s="83" t="s">
        <v>1388</v>
      </c>
    </row>
    <row r="61" spans="2:21" ht="25.5" x14ac:dyDescent="0.25">
      <c r="B61" s="27" t="str">
        <f>'[3]1 lentelė'!B61</f>
        <v>1.2.2.2</v>
      </c>
      <c r="C61" s="27">
        <f>'[3]1 lentelė'!C61</f>
        <v>0</v>
      </c>
      <c r="D61" s="27" t="str">
        <f>'[3]1 lentelė'!D61</f>
        <v>Priemonė: Darnaus judumo priemonių diegimas</v>
      </c>
      <c r="E61" s="27"/>
    </row>
    <row r="62" spans="2:21" x14ac:dyDescent="0.25">
      <c r="B62" s="35"/>
      <c r="C62" s="35"/>
      <c r="D62" s="35"/>
      <c r="E62" s="80"/>
    </row>
    <row r="63" spans="2:21" ht="255.75" customHeight="1" x14ac:dyDescent="0.25">
      <c r="B63" s="35" t="str">
        <f>'[3]1 lentelė'!B63</f>
        <v>1.2.2.2.2</v>
      </c>
      <c r="C63" s="35" t="str">
        <f>'[3]1 lentelė'!C63</f>
        <v>R095513-500000-1214</v>
      </c>
      <c r="D63" s="35" t="str">
        <f>'[3]1 lentelė'!D63</f>
        <v xml:space="preserve">Visagino miesto darnaus judumo plano parengimas </v>
      </c>
      <c r="E63" s="83" t="s">
        <v>783</v>
      </c>
      <c r="U63" s="1" t="s">
        <v>769</v>
      </c>
    </row>
    <row r="64" spans="2:21" ht="181.5" customHeight="1" x14ac:dyDescent="0.25">
      <c r="B64" s="35" t="str">
        <f>'[3]1 lentelė'!B64</f>
        <v>1.2.2.2.3</v>
      </c>
      <c r="C64" s="35" t="str">
        <f>'[3]1 lentelė'!C64</f>
        <v>R095514-190000-1215</v>
      </c>
      <c r="D64" s="35" t="str">
        <f>'[3]1 lentelė'!D64</f>
        <v>Darnaus judumo infrastruktūros įrengimas Visagino mieste</v>
      </c>
      <c r="E64" s="83" t="s">
        <v>1389</v>
      </c>
      <c r="U64" s="1" t="s">
        <v>768</v>
      </c>
    </row>
    <row r="65" spans="2:21" ht="186" customHeight="1" x14ac:dyDescent="0.25">
      <c r="B65" s="35" t="str">
        <f>'[3]1 lentelė'!B65</f>
        <v>1.2.2.2.4</v>
      </c>
      <c r="C65" s="35" t="str">
        <f>'[3]1 lentelė'!C65</f>
        <v>R095513-500000-1216</v>
      </c>
      <c r="D65" s="35" t="str">
        <f>'[3]1 lentelė'!D65</f>
        <v>Darnaus judumo Utenos mieste plano rengimas</v>
      </c>
      <c r="E65" s="83" t="s">
        <v>782</v>
      </c>
      <c r="U65" s="1" t="s">
        <v>769</v>
      </c>
    </row>
    <row r="66" spans="2:21" ht="123.75" customHeight="1" x14ac:dyDescent="0.25">
      <c r="B66" s="35" t="s">
        <v>258</v>
      </c>
      <c r="C66" s="35" t="s">
        <v>1208</v>
      </c>
      <c r="D66" s="35" t="s">
        <v>1209</v>
      </c>
      <c r="E66" s="83" t="s">
        <v>1390</v>
      </c>
    </row>
    <row r="67" spans="2:21" ht="38.25" x14ac:dyDescent="0.25">
      <c r="B67" s="59" t="str">
        <f>'[3]1 lentelė'!B67</f>
        <v>1.2.2.3</v>
      </c>
      <c r="C67" s="59"/>
      <c r="D67" s="59" t="str">
        <f>'[3]1 lentelė'!D67</f>
        <v>Priemonė: Vietinio susisiekimo viešojo transporto priemonių parko atnaujinimas</v>
      </c>
      <c r="E67" s="59"/>
    </row>
    <row r="68" spans="2:21" x14ac:dyDescent="0.25">
      <c r="B68" s="35"/>
      <c r="C68" s="35"/>
      <c r="D68" s="35"/>
      <c r="E68" s="80"/>
    </row>
    <row r="69" spans="2:21" ht="96" x14ac:dyDescent="0.25">
      <c r="B69" s="35" t="str">
        <f>'[3]1 lentelė'!B69</f>
        <v>1.2.2.3.3</v>
      </c>
      <c r="C69" s="35" t="str">
        <f>'[3]1 lentelė'!C69</f>
        <v>R095518-100000-1219</v>
      </c>
      <c r="D69" s="35" t="str">
        <f>'[3]1 lentelė'!D69</f>
        <v>Utenos rajono vietinio susisiekimo viešojo transporto priemonių parko atnaujinimas</v>
      </c>
      <c r="E69" s="83" t="s">
        <v>863</v>
      </c>
    </row>
    <row r="70" spans="2:21" ht="15" x14ac:dyDescent="0.25">
      <c r="B70" s="63" t="str">
        <f>'[3]1 lentelė'!B70</f>
        <v>2.</v>
      </c>
      <c r="C70" s="63"/>
      <c r="D70" s="63" t="str">
        <f>'[3]1 lentelė'!D70</f>
        <v>Prioritetas: Integrali ekonomika</v>
      </c>
      <c r="E70" s="63"/>
    </row>
    <row r="71" spans="2:21" ht="38.25" x14ac:dyDescent="0.25">
      <c r="B71" s="66" t="str">
        <f>'[3]1 lentelė'!B71</f>
        <v xml:space="preserve">2.1 </v>
      </c>
      <c r="C71" s="66"/>
      <c r="D71" s="66" t="str">
        <f>'[3]1 lentelė'!D71</f>
        <v>Tikslas: Turizmo infrastruktūros, kultūros ir gamtos paveldo plėtra</v>
      </c>
      <c r="E71" s="66"/>
    </row>
    <row r="72" spans="2:21" ht="38.25" x14ac:dyDescent="0.25">
      <c r="B72" s="69" t="str">
        <f>'[3]1 lentelė'!B72</f>
        <v xml:space="preserve">2.1.1 </v>
      </c>
      <c r="C72" s="69"/>
      <c r="D72" s="69" t="str">
        <f>'[3]1 lentelė'!D72</f>
        <v>Uždavinys: Sutvarkyti ir aktualizuoti kultūros paveldo plėtrą</v>
      </c>
      <c r="E72" s="69"/>
    </row>
    <row r="73" spans="2:21" ht="38.25" x14ac:dyDescent="0.25">
      <c r="B73" s="59" t="str">
        <f>'[3]1 lentelė'!B73</f>
        <v>2.1.1.1</v>
      </c>
      <c r="C73" s="59"/>
      <c r="D73" s="59" t="str">
        <f>'[3]1 lentelė'!D73</f>
        <v>Priemonė: Aktualizuoti savivaldybių kultūros paveldo objektus</v>
      </c>
      <c r="E73" s="59"/>
    </row>
    <row r="74" spans="2:21" ht="280.5" customHeight="1" x14ac:dyDescent="0.25">
      <c r="B74" s="35" t="str">
        <f>'[3]1 lentelė'!B74</f>
        <v>2.1.1.1.1</v>
      </c>
      <c r="C74" s="35" t="str">
        <f>'[3]1 lentelė'!C74</f>
        <v>R093302-442942-2101</v>
      </c>
      <c r="D74" s="35" t="str">
        <f>'[3]1 lentelė'!D74</f>
        <v xml:space="preserve">Kompleksinis Okuličiūtės dvarelio Anykščiuose sutvarkymas ir pritaikymas kultūrinei, meninei veiklai </v>
      </c>
      <c r="E74" s="83" t="s">
        <v>784</v>
      </c>
    </row>
    <row r="75" spans="2:21" ht="160.5" customHeight="1" x14ac:dyDescent="0.25">
      <c r="B75" s="35" t="str">
        <f>'[3]1 lentelė'!B75</f>
        <v xml:space="preserve">2.1.1.1.2 </v>
      </c>
      <c r="C75" s="35" t="str">
        <f>'[3]1 lentelė'!C75</f>
        <v>R093302-440000-2102</v>
      </c>
      <c r="D75" s="35" t="str">
        <f>'[3]1 lentelė'!D75</f>
        <v xml:space="preserve">Naujų kultūros paslaugų visuomenės kultūriniams poreikiams tenkinti sukūrimas Utenos meno mokykloje </v>
      </c>
      <c r="E75" s="83" t="s">
        <v>785</v>
      </c>
    </row>
    <row r="76" spans="2:21" ht="180" x14ac:dyDescent="0.25">
      <c r="B76" s="35" t="str">
        <f>'[3]1 lentelė'!B76</f>
        <v>2.1.1.1.3</v>
      </c>
      <c r="C76" s="35" t="str">
        <f>'[3]1 lentelė'!C76</f>
        <v>R093302-440000-2103</v>
      </c>
      <c r="D76" s="35" t="str">
        <f>'[3]1 lentelė'!D76</f>
        <v>Atgailos kanauninkų vienuolyno ansamblio (u.k. 987) vienuolyno namo (u.k. 25029) Videniškių km. kapitalinis remontas ir pritaikymas Videniškių vienuolyno amatų centro ir bendruomenės poreikiams poreikiams</v>
      </c>
      <c r="E76" s="83" t="s">
        <v>786</v>
      </c>
    </row>
    <row r="77" spans="2:21" ht="228" x14ac:dyDescent="0.25">
      <c r="B77" s="35" t="str">
        <f>'[3]1 lentelė'!B77</f>
        <v>2.1.1.1.4</v>
      </c>
      <c r="C77" s="35" t="str">
        <f>'[3]1 lentelė'!C77</f>
        <v>R093302-442942-2104</v>
      </c>
      <c r="D77" s="35" t="str">
        <f>'[3]1 lentelė'!D77</f>
        <v>Valstybės saugomo kultūros paveldo objekto – Antazavės dvaro aktualizavimas</v>
      </c>
      <c r="E77" s="83" t="s">
        <v>787</v>
      </c>
    </row>
    <row r="78" spans="2:21" ht="25.5" x14ac:dyDescent="0.25">
      <c r="B78" s="69" t="str">
        <f>'[3]1 lentelė'!B78</f>
        <v>2.1.2</v>
      </c>
      <c r="C78" s="69">
        <f>'[3]1 lentelė'!C78</f>
        <v>0</v>
      </c>
      <c r="D78" s="69" t="str">
        <f>'[3]1 lentelė'!D78</f>
        <v>Uždavinys: Plėtoti turizmo išteklių ir paslaugų rinkodarą</v>
      </c>
      <c r="E78" s="69"/>
    </row>
    <row r="79" spans="2:21" ht="51" x14ac:dyDescent="0.25">
      <c r="B79" s="59" t="str">
        <f>'[3]1 lentelė'!B79</f>
        <v>2.1.2.1</v>
      </c>
      <c r="C79" s="59"/>
      <c r="D79" s="59" t="str">
        <f>'[3]1 lentelė'!D79</f>
        <v>Priemonė: Savivaldybes jungiančių turizmo trasų ir turizmo maršrutų informacinės infrastruktūros plėtra</v>
      </c>
      <c r="E79" s="59"/>
    </row>
    <row r="80" spans="2:21" ht="123.75" customHeight="1" x14ac:dyDescent="0.25">
      <c r="B80" s="35" t="str">
        <f>'[3]1 lentelė'!B81</f>
        <v xml:space="preserve">2.1.2.1.2 </v>
      </c>
      <c r="C80" s="35" t="str">
        <f>'[3]1 lentelė'!C81</f>
        <v>R098821-420000-2106</v>
      </c>
      <c r="D80" s="35" t="str">
        <f>'[3]1 lentelė'!D81</f>
        <v>Informacinės infrastruktūros plėtra Ignalinos, Molėtų ir Utenos rajonuose</v>
      </c>
      <c r="E80" s="83" t="s">
        <v>788</v>
      </c>
      <c r="U80" s="1" t="s">
        <v>768</v>
      </c>
    </row>
    <row r="81" spans="2:21" s="238" customFormat="1" ht="55.5" customHeight="1" x14ac:dyDescent="0.25">
      <c r="B81" s="35" t="str">
        <f>'[3]1 lentelė'!B82</f>
        <v>2.1.2.1.3</v>
      </c>
      <c r="C81" s="35" t="str">
        <f>'[3]1 lentelė'!C82</f>
        <v>R098821-420000-2107</v>
      </c>
      <c r="D81" s="35" t="str">
        <f>'[3]1 lentelė'!D82</f>
        <v>Taktiliniai maketai turistui po atviru dangumi</v>
      </c>
      <c r="E81" s="83" t="s">
        <v>1391</v>
      </c>
    </row>
    <row r="82" spans="2:21" ht="114.75" customHeight="1" x14ac:dyDescent="0.25">
      <c r="B82" s="35" t="s">
        <v>1215</v>
      </c>
      <c r="C82" s="35" t="s">
        <v>1216</v>
      </c>
      <c r="D82" s="35" t="s">
        <v>1217</v>
      </c>
      <c r="E82" s="83" t="s">
        <v>1392</v>
      </c>
    </row>
    <row r="83" spans="2:21" ht="25.5" x14ac:dyDescent="0.25">
      <c r="B83" s="66" t="str">
        <f>'[3]1 lentelė'!B84</f>
        <v>2.2</v>
      </c>
      <c r="C83" s="66"/>
      <c r="D83" s="66" t="str">
        <f>'[3]1 lentelė'!D84</f>
        <v>Tikslas; darnaus išteklių naudojimo skatinimas</v>
      </c>
      <c r="E83" s="66"/>
    </row>
    <row r="84" spans="2:21" ht="51" x14ac:dyDescent="0.25">
      <c r="B84" s="69" t="str">
        <f>'[3]1 lentelė'!B85</f>
        <v>2.2.1</v>
      </c>
      <c r="C84" s="69"/>
      <c r="D84" s="69" t="str">
        <f>'[3]1 lentelė'!D85</f>
        <v>Uždavinys: Plėtoti tvarią šilumos energijos, vandens tiekimo, nuotekų šalinimo ir atliekų tvarkymo sistemą</v>
      </c>
      <c r="E84" s="69"/>
    </row>
    <row r="85" spans="2:21" ht="51" x14ac:dyDescent="0.25">
      <c r="B85" s="59" t="str">
        <f>'[3]1 lentelė'!B86</f>
        <v>2.2.1.1</v>
      </c>
      <c r="C85" s="59"/>
      <c r="D85" s="59" t="str">
        <f>'[3]1 lentelė'!D86</f>
        <v>Priemonė: Geriamojo vandens tiekimo ir nuotekų tvarkymo sistemų renovavimas ir plėtra, įmonių valdymo tobulinimas</v>
      </c>
      <c r="E85" s="59"/>
    </row>
    <row r="86" spans="2:21" ht="255.75" customHeight="1" x14ac:dyDescent="0.25">
      <c r="B86" s="35" t="str">
        <f>'[3]1 lentelė'!B87</f>
        <v>2.2.1.1.1</v>
      </c>
      <c r="C86" s="35" t="str">
        <f>'[3]1 lentelė'!C87</f>
        <v>R090014-060700-2201</v>
      </c>
      <c r="D86" s="35" t="str">
        <f>'[3]1 lentelė'!D87</f>
        <v xml:space="preserve">Vandens tiekimo ir nuotekų tvarkymo infrastruktūros plėtra Ignalinos rajone </v>
      </c>
      <c r="E86" s="83" t="s">
        <v>789</v>
      </c>
    </row>
    <row r="87" spans="2:21" ht="216" x14ac:dyDescent="0.25">
      <c r="B87" s="35" t="str">
        <f>'[3]1 lentelė'!B88</f>
        <v>2.2.1.1.2</v>
      </c>
      <c r="C87" s="35" t="str">
        <f>'[3]1 lentelė'!C88</f>
        <v>R090014-070000-2202</v>
      </c>
      <c r="D87" s="35" t="str">
        <f>'[3]1 lentelė'!D88</f>
        <v xml:space="preserve">Vandens tiekimo ir nuotekų tvarkymo infrastruktūros plėtra ir rekonstravimas Zarasų rajono savivaldybėje </v>
      </c>
      <c r="E87" s="83" t="s">
        <v>790</v>
      </c>
    </row>
    <row r="88" spans="2:21" ht="217.5" customHeight="1" x14ac:dyDescent="0.25">
      <c r="B88" s="35" t="str">
        <f>'[3]1 lentelė'!B89</f>
        <v>2.2.1.1.3</v>
      </c>
      <c r="C88" s="35" t="str">
        <f>'[3]1 lentelė'!C89</f>
        <v>R090014-060000-2203</v>
      </c>
      <c r="D88" s="35" t="str">
        <f>'[3]1 lentelė'!D89</f>
        <v xml:space="preserve">Vandens tiekimo ir nuotekų tinklų rekonstravimas Visagine </v>
      </c>
      <c r="E88" s="83" t="s">
        <v>793</v>
      </c>
      <c r="U88" s="1" t="s">
        <v>769</v>
      </c>
    </row>
    <row r="89" spans="2:21" ht="255.75" customHeight="1" x14ac:dyDescent="0.25">
      <c r="B89" s="35" t="str">
        <f>'[3]1 lentelė'!B90</f>
        <v>2.2.1.1.4</v>
      </c>
      <c r="C89" s="35" t="str">
        <f>'[3]1 lentelė'!C90</f>
        <v>R090014-070600-2204</v>
      </c>
      <c r="D89" s="35" t="str">
        <f>'[3]1 lentelė'!D90</f>
        <v>Vandens tiekimo ir nuotekų tvarkymo infrastruktūros plėtra ir rekonstrukcija Anykščių r. sav. Kurklių miestelyje</v>
      </c>
      <c r="E89" s="83" t="s">
        <v>792</v>
      </c>
    </row>
    <row r="90" spans="2:21" ht="240.75" customHeight="1" x14ac:dyDescent="0.25">
      <c r="B90" s="35" t="str">
        <f>'[3]1 lentelė'!B91</f>
        <v>2.2.1.1.5</v>
      </c>
      <c r="C90" s="35" t="str">
        <f>'[3]1 lentelė'!C91</f>
        <v>R090014-070600-2205</v>
      </c>
      <c r="D90" s="35" t="str">
        <f>'[3]1 lentelė'!D91</f>
        <v xml:space="preserve"> Vandens tiekimo ir nuotekų tvarkymo infrastruktūros plėtra ir rekonstrukcija Molėtų rajone </v>
      </c>
      <c r="E90" s="83" t="s">
        <v>791</v>
      </c>
    </row>
    <row r="91" spans="2:21" ht="324" x14ac:dyDescent="0.25">
      <c r="B91" s="35" t="str">
        <f>'[3]1 lentelė'!B92</f>
        <v>2.2.1.1.6</v>
      </c>
      <c r="C91" s="35" t="str">
        <f>'[3]1 lentelė'!C92</f>
        <v>R090014-075000-2206</v>
      </c>
      <c r="D91" s="35" t="str">
        <f>'[3]1 lentelė'!D92</f>
        <v>Vandens tiekimo ir nuotekų tvarkymo infrastruktūros plėtra Utenos rajone (Jasonių k.)</v>
      </c>
      <c r="E91" s="83" t="s">
        <v>794</v>
      </c>
    </row>
    <row r="92" spans="2:21" ht="147" customHeight="1" x14ac:dyDescent="0.25">
      <c r="B92" s="35" t="str">
        <f>'[3]1 lentelė'!B93</f>
        <v>2.2.1.1.7</v>
      </c>
      <c r="C92" s="35" t="str">
        <f>'[3]1 lentelė'!C93</f>
        <v>R090014-060000-2225</v>
      </c>
      <c r="D92" s="35" t="str">
        <f>'[3]1 lentelė'!D93</f>
        <v>Vandens tiekimo ir nuotekų tvarkymo infrastruktūros rekonstrukcija ir inventorizacija Ignalinos rajone</v>
      </c>
      <c r="E92" s="83" t="s">
        <v>798</v>
      </c>
      <c r="U92" s="1" t="s">
        <v>768</v>
      </c>
    </row>
    <row r="93" spans="2:21" ht="121.5" customHeight="1" x14ac:dyDescent="0.25">
      <c r="B93" s="35" t="str">
        <f>'[3]1 lentelė'!B94</f>
        <v>2.2.1.1.8</v>
      </c>
      <c r="C93" s="35" t="str">
        <f>'[3]1 lentelė'!C94</f>
        <v>R090014-075000-2226</v>
      </c>
      <c r="D93" s="35" t="str">
        <f>'[3]1 lentelė'!D94</f>
        <v>Vandens tiekimo ir nuotekų tvarkymo infrastruktūros plėtra Utenos rajone (Jasonių k. II etapas)</v>
      </c>
      <c r="E93" s="83" t="s">
        <v>1088</v>
      </c>
      <c r="U93" s="1" t="s">
        <v>768</v>
      </c>
    </row>
    <row r="94" spans="2:21" ht="279" customHeight="1" x14ac:dyDescent="0.25">
      <c r="B94" s="35" t="str">
        <f>'[3]1 lentelė'!B95</f>
        <v>2.2.1.1.9</v>
      </c>
      <c r="C94" s="35" t="str">
        <f>'[3]1 lentelė'!C95</f>
        <v>R090014-070000-2227</v>
      </c>
      <c r="D94" s="35" t="str">
        <f>'[3]1 lentelė'!D95</f>
        <v>Vandentiekio ir nuotekų tinklų Anykščių aglomeracijoje (sodų bendrija ,,Šaltupys" ir Keblonių k.) statybos darbai.</v>
      </c>
      <c r="E94" s="83" t="s">
        <v>795</v>
      </c>
    </row>
    <row r="95" spans="2:21" ht="270" customHeight="1" x14ac:dyDescent="0.25">
      <c r="B95" s="35" t="str">
        <f>'[3]1 lentelė'!B96</f>
        <v>2.2.1.1.10</v>
      </c>
      <c r="C95" s="35" t="str">
        <f>'[3]1 lentelė'!C96</f>
        <v>R090014-070600-2228</v>
      </c>
      <c r="D95" s="35" t="str">
        <f>'[3]1 lentelė'!D96</f>
        <v>Vandens tiekimo ir nuotekų tvarkymo infrastruktūros plėtra ir rekonstravimas Zarasų rajono savivaldybėje (II etapas)</v>
      </c>
      <c r="E95" s="83" t="s">
        <v>797</v>
      </c>
    </row>
    <row r="96" spans="2:21" ht="124.5" customHeight="1" x14ac:dyDescent="0.25">
      <c r="B96" s="35" t="str">
        <f>'[3]1 lentelė'!B97</f>
        <v>2.2.1.1.11</v>
      </c>
      <c r="C96" s="35" t="str">
        <f>'[3]1 lentelė'!C97</f>
        <v>R090014-070600-2229</v>
      </c>
      <c r="D96" s="35" t="str">
        <f>'[3]1 lentelė'!D97</f>
        <v>Vandens tiekimo ir nuotekų tvarkymo infrastruktūros plėtra ir rekonstrukcija Molėtų rajone (II etapas)</v>
      </c>
      <c r="E96" s="83" t="s">
        <v>796</v>
      </c>
    </row>
    <row r="97" spans="2:5" ht="25.5" x14ac:dyDescent="0.25">
      <c r="B97" s="60" t="str">
        <f>'[3]1 lentelė'!B98</f>
        <v>2.2.1.2</v>
      </c>
      <c r="C97" s="60">
        <f>'[3]1 lentelė'!C98</f>
        <v>0</v>
      </c>
      <c r="D97" s="60" t="str">
        <f>'[3]1 lentelė'!D98</f>
        <v>Priemonė: Paviršinių nuotekų sistemų tvarkymas</v>
      </c>
      <c r="E97" s="60"/>
    </row>
    <row r="98" spans="2:5" ht="315" customHeight="1" x14ac:dyDescent="0.25">
      <c r="B98" s="35" t="str">
        <f>'[3]1 lentelė'!B99</f>
        <v>2.2.1.2.1</v>
      </c>
      <c r="C98" s="35" t="str">
        <f>'[3]1 lentelė'!C99</f>
        <v>R090007-080000-2207</v>
      </c>
      <c r="D98" s="35" t="str">
        <f>'[3]1 lentelė'!D99</f>
        <v>Paviršinių nuotekų tinklų ir jiems priklausančios infrastruktūros rekonstrukcija ir plėtra Utenos mieste</v>
      </c>
      <c r="E98" s="83" t="s">
        <v>799</v>
      </c>
    </row>
    <row r="99" spans="2:5" ht="266.25" customHeight="1" x14ac:dyDescent="0.25">
      <c r="B99" s="35" t="str">
        <f>'[3]1 lentelė'!B100</f>
        <v>2.2.1.2.2</v>
      </c>
      <c r="C99" s="35" t="str">
        <f>'[3]1 lentelė'!C100</f>
        <v>R090007-080000-2208</v>
      </c>
      <c r="D99" s="35" t="str">
        <f>'[3]1 lentelė'!D100</f>
        <v>Inžinerinių paviršinių nuotekų surinkimo ir šalinimo tinklų rekonstravimas Visagino g. atkarpoje nuo Parko iki Vilties g.</v>
      </c>
      <c r="E99" s="83" t="s">
        <v>800</v>
      </c>
    </row>
    <row r="100" spans="2:5" ht="25.5" x14ac:dyDescent="0.25">
      <c r="B100" s="60" t="str">
        <f>'[3]1 lentelė'!B101</f>
        <v>2.2.1.3</v>
      </c>
      <c r="C100" s="60">
        <f>'[3]1 lentelė'!C101</f>
        <v>0</v>
      </c>
      <c r="D100" s="60" t="str">
        <f>'[3]1 lentelė'!D101</f>
        <v>Priemonė: Komunalinių atliekų tvarkymo infrastruktūros plėtra</v>
      </c>
      <c r="E100" s="60"/>
    </row>
    <row r="101" spans="2:5" ht="303" customHeight="1" x14ac:dyDescent="0.25">
      <c r="B101" s="35" t="str">
        <f>'[3]1 lentelė'!B102</f>
        <v>2.2.1.3.1</v>
      </c>
      <c r="C101" s="35" t="str">
        <f>'[3]1 lentelė'!C102</f>
        <v>R090008-050000-2209</v>
      </c>
      <c r="D101" s="35" t="str">
        <f>'[3]1 lentelė'!D102</f>
        <v>Komunalinių atliekų tvarkymo infrastruktūros plėtra Visagino savivaldybėje</v>
      </c>
      <c r="E101" s="83" t="s">
        <v>801</v>
      </c>
    </row>
    <row r="102" spans="2:5" ht="87.75" customHeight="1" x14ac:dyDescent="0.25">
      <c r="B102" s="35" t="str">
        <f>'[3]1 lentelė'!B103</f>
        <v>2.2.1.3.2</v>
      </c>
      <c r="C102" s="35" t="str">
        <f>'[3]1 lentelė'!C103</f>
        <v>R090008-050000-2210</v>
      </c>
      <c r="D102" s="35" t="str">
        <f>'[3]1 lentelė'!D103</f>
        <v>Konteinerinių aikštelių įrengimas ( rekonstrukcija) Ignalinos r. savivaldybėje ir atliekų surinkimo konteinerių konteinerinėms aikštelėms įsigijimas</v>
      </c>
      <c r="E102" s="83" t="s">
        <v>803</v>
      </c>
    </row>
    <row r="103" spans="2:5" ht="336" customHeight="1" x14ac:dyDescent="0.25">
      <c r="B103" s="35" t="str">
        <f>'[3]1 lentelė'!B104</f>
        <v>2.2.1.3.3</v>
      </c>
      <c r="C103" s="35" t="str">
        <f>'[3]1 lentelė'!C104</f>
        <v>R090008-050000-2211</v>
      </c>
      <c r="D103" s="35" t="str">
        <f>'[3]1 lentelė'!D104</f>
        <v>Komunalinių atliekų tvarkymo infrastruktūros plėtra Anykščių rajono savivaldybėje</v>
      </c>
      <c r="E103" s="83" t="s">
        <v>802</v>
      </c>
    </row>
    <row r="104" spans="2:5" ht="204" x14ac:dyDescent="0.25">
      <c r="B104" s="35" t="str">
        <f>'[3]1 lentelė'!B105</f>
        <v>2.2.1.3.4</v>
      </c>
      <c r="C104" s="35" t="str">
        <f>'[3]1 lentelė'!C105</f>
        <v>R090008-050000-2212</v>
      </c>
      <c r="D104" s="35" t="str">
        <f>'[3]1 lentelė'!D105</f>
        <v>Molėtų rajono komunalinių atliekų tvarkymo infrastruktūros plėtra</v>
      </c>
      <c r="E104" s="83" t="s">
        <v>806</v>
      </c>
    </row>
    <row r="105" spans="2:5" ht="210" customHeight="1" x14ac:dyDescent="0.25">
      <c r="B105" s="35" t="str">
        <f>'[3]1 lentelė'!B106</f>
        <v>2.2.1.3.5</v>
      </c>
      <c r="C105" s="35" t="str">
        <f>'[3]1 lentelė'!C106</f>
        <v>R090008-050000-2213</v>
      </c>
      <c r="D105" s="35" t="str">
        <f>'[3]1 lentelė'!D106</f>
        <v>Komunalinių atliekų tvarkymo infrastruktūros plėtra Zarasų rajone</v>
      </c>
      <c r="E105" s="83" t="s">
        <v>804</v>
      </c>
    </row>
    <row r="106" spans="2:5" ht="216" x14ac:dyDescent="0.25">
      <c r="B106" s="35" t="str">
        <f>'[3]1 lentelė'!B107</f>
        <v>2.2.1.3.6</v>
      </c>
      <c r="C106" s="35" t="str">
        <f>'[3]1 lentelė'!C107</f>
        <v>R090008-050000-2214</v>
      </c>
      <c r="D106" s="35" t="str">
        <f>'[3]1 lentelė'!D107</f>
        <v>Komunalinių atliekų tvarkymo infrastruktūros plėtra Utenos rajone</v>
      </c>
      <c r="E106" s="83" t="s">
        <v>805</v>
      </c>
    </row>
    <row r="107" spans="2:5" ht="41.25" customHeight="1" x14ac:dyDescent="0.25">
      <c r="B107" s="69" t="str">
        <f>'[3]1 lentelė'!B108</f>
        <v>2.2.2.</v>
      </c>
      <c r="C107" s="69"/>
      <c r="D107" s="69" t="str">
        <f>'[3]1 lentelė'!D108</f>
        <v>Uždavinys: Gerinti regiono kraštovaizdžio tvarkymo ir apsaugos efektyvumą</v>
      </c>
      <c r="E107" s="69"/>
    </row>
    <row r="108" spans="2:5" ht="15" x14ac:dyDescent="0.25">
      <c r="B108" s="60" t="str">
        <f>'[3]1 lentelė'!B109</f>
        <v>2.2.2.1</v>
      </c>
      <c r="C108" s="60"/>
      <c r="D108" s="60" t="str">
        <f>'[3]1 lentelė'!D109</f>
        <v>Priemonė: Kraštovaizdžio apsauga</v>
      </c>
      <c r="E108" s="60"/>
    </row>
    <row r="109" spans="2:5" ht="159" customHeight="1" x14ac:dyDescent="0.25">
      <c r="B109" s="35" t="str">
        <f>'[3]1 lentelė'!B110</f>
        <v>2.2.2.1.1</v>
      </c>
      <c r="C109" s="35" t="str">
        <f>'[3]1 lentelė'!C110</f>
        <v>R090019-380000-2215</v>
      </c>
      <c r="D109" s="35" t="str">
        <f>'[3]1 lentelė'!D110</f>
        <v>Zarasų rajono savivaldybės bendrųjų planų koregavimas</v>
      </c>
      <c r="E109" s="83" t="s">
        <v>812</v>
      </c>
    </row>
    <row r="110" spans="2:5" ht="142.5" customHeight="1" x14ac:dyDescent="0.25">
      <c r="B110" s="35" t="str">
        <f>'[3]1 lentelė'!B111</f>
        <v>2.2.2.1.2</v>
      </c>
      <c r="C110" s="35" t="str">
        <f>'[3]1 lentelė'!C111</f>
        <v>R090019-380000-2216</v>
      </c>
      <c r="D110" s="35" t="str">
        <f>'[3]1 lentelė'!D111</f>
        <v>Bešeimininkių apleistų, kraštovaizdį darkančių statinių likvidavimas Molėtų rajono savivaldybėje</v>
      </c>
      <c r="E110" s="83" t="s">
        <v>1393</v>
      </c>
    </row>
    <row r="111" spans="2:5" ht="288" x14ac:dyDescent="0.25">
      <c r="B111" s="35" t="str">
        <f>'[3]1 lentelė'!B112</f>
        <v>2.2.2.1.3</v>
      </c>
      <c r="C111" s="35" t="str">
        <f>'[3]1 lentelė'!C112</f>
        <v>R090019-380000-2217</v>
      </c>
      <c r="D111" s="35" t="str">
        <f>'[3]1 lentelė'!D112</f>
        <v>Kraštovaizdžio formavimas ir ekologinės būklės gerinimas Zarasų rajone</v>
      </c>
      <c r="E111" s="83" t="s">
        <v>808</v>
      </c>
    </row>
    <row r="112" spans="2:5" ht="341.25" customHeight="1" x14ac:dyDescent="0.25">
      <c r="B112" s="35" t="str">
        <f>'[3]1 lentelė'!B113</f>
        <v>2.2.2.1.4</v>
      </c>
      <c r="C112" s="35" t="str">
        <f>'[3]1 lentelė'!C113</f>
        <v>R090019-380000-2218</v>
      </c>
      <c r="D112" s="35" t="str">
        <f>'[3]1 lentelė'!D113</f>
        <v>Želdynų teritorijos formavimas ir kraštovaizdžio būklės gerinimas Utenos mieste</v>
      </c>
      <c r="E112" s="83" t="s">
        <v>1394</v>
      </c>
    </row>
    <row r="113" spans="1:21" ht="204" x14ac:dyDescent="0.25">
      <c r="B113" s="35" t="str">
        <f>'[3]1 lentelė'!B114</f>
        <v>2.2.2.1.5</v>
      </c>
      <c r="C113" s="35" t="str">
        <f>'[3]1 lentelė'!C114</f>
        <v>R090019-380000-2219</v>
      </c>
      <c r="D113" s="35" t="str">
        <f>'[3]1 lentelė'!D114</f>
        <v>,,Anykščių rajono kraštovaizdžio estetinio potencialo didinimas likviduojant bešeimininkius  kraštovaizdį darkančius statinius“</v>
      </c>
      <c r="E113" s="83" t="s">
        <v>807</v>
      </c>
      <c r="U113" s="1" t="s">
        <v>769</v>
      </c>
    </row>
    <row r="114" spans="1:21" ht="193.5" customHeight="1" x14ac:dyDescent="0.25">
      <c r="B114" s="35" t="str">
        <f>'[3]1 lentelė'!B115</f>
        <v>2.2.2.1.6</v>
      </c>
      <c r="C114" s="35" t="str">
        <f>'[3]1 lentelė'!C115</f>
        <v>R090019-380000-2220</v>
      </c>
      <c r="D114" s="35" t="str">
        <f>'[3]1 lentelė'!D115</f>
        <v>Kraštovaizdžio formavimas ir ekologinės būklės gerinimas Anykščių rajono savivaldybėje</v>
      </c>
      <c r="E114" s="83" t="s">
        <v>809</v>
      </c>
    </row>
    <row r="115" spans="1:21" ht="132" x14ac:dyDescent="0.25">
      <c r="B115" s="35" t="str">
        <f>'[3]1 lentelė'!B116</f>
        <v>2.2.2.1.7</v>
      </c>
      <c r="C115" s="35" t="str">
        <f>'[3]1 lentelė'!C116</f>
        <v>R090019-380000-2221</v>
      </c>
      <c r="D115" s="35" t="str">
        <f>'[3]1 lentelė'!D116</f>
        <v>Visagino miesto kraštovaizdžio formavimas, ekologinės būklės gerinimas ir želdynų tvarkymas (kūrimas) gamtinio karkaso teritorijose</v>
      </c>
      <c r="E115" s="83" t="s">
        <v>811</v>
      </c>
      <c r="U115" s="1" t="s">
        <v>768</v>
      </c>
    </row>
    <row r="116" spans="1:21" ht="276" x14ac:dyDescent="0.25">
      <c r="B116" s="35" t="str">
        <f>'[3]1 lentelė'!B117</f>
        <v>2.2.2.1.8</v>
      </c>
      <c r="C116" s="35" t="str">
        <f>'[3]1 lentelė'!C117</f>
        <v>R090019-380000-2222</v>
      </c>
      <c r="D116" s="35" t="str">
        <f>'[3]1 lentelė'!D117</f>
        <v>Utenos rajono kraštovaizdžio estetinio potencialo didinimas likviduojant bešeimininkius apleistus, kraštovaizdį darkančius statinius</v>
      </c>
      <c r="E116" s="83" t="s">
        <v>1395</v>
      </c>
    </row>
    <row r="117" spans="1:21" ht="146.25" customHeight="1" x14ac:dyDescent="0.25">
      <c r="B117" s="35" t="str">
        <f>'[3]1 lentelė'!B118</f>
        <v>2.2.2.1.9</v>
      </c>
      <c r="C117" s="35" t="str">
        <f>'[3]1 lentelė'!C118</f>
        <v>R090019-380000-2223</v>
      </c>
      <c r="D117" s="35" t="str">
        <f>'[3]1 lentelė'!D118</f>
        <v xml:space="preserve">Kraštovaizdžio planavimas, tvarkymas ir būklės gerinimas Molėtų rajone </v>
      </c>
      <c r="E117" s="83" t="s">
        <v>810</v>
      </c>
    </row>
    <row r="118" spans="1:21" ht="60" x14ac:dyDescent="0.25">
      <c r="B118" s="35" t="str">
        <f>'[3]1 lentelė'!B119</f>
        <v>2.2.2.1.10</v>
      </c>
      <c r="C118" s="35" t="str">
        <f>'[3]1 lentelė'!C119</f>
        <v>R090019-380000-2224</v>
      </c>
      <c r="D118" s="35" t="str">
        <f>'[3]1 lentelė'!D119</f>
        <v>Kraštovaizdžio formavimas, pažeistų žemių tvarkymas Ignalinos rajone ir bendrųjų planų tikslinimas</v>
      </c>
      <c r="E118" s="83" t="s">
        <v>864</v>
      </c>
    </row>
    <row r="119" spans="1:21" ht="107.25" customHeight="1" x14ac:dyDescent="0.25">
      <c r="B119" s="35" t="str">
        <f>'[3]1 lentelė'!B120</f>
        <v>2.2.2.1.11</v>
      </c>
      <c r="C119" s="35" t="str">
        <f>'[3]1 lentelė'!C120</f>
        <v>R090019-380000-2225</v>
      </c>
      <c r="D119" s="35" t="str">
        <f>'[3]1 lentelė'!D120</f>
        <v>Bešeimininkių apleistų statinių likvidavimas Molėtų rajono savivaldybėje</v>
      </c>
      <c r="E119" s="83" t="s">
        <v>1082</v>
      </c>
    </row>
    <row r="120" spans="1:21" ht="109.5" customHeight="1" x14ac:dyDescent="0.25">
      <c r="B120" s="35" t="str">
        <f>'[3]1 lentelė'!B121</f>
        <v>2.2.2.1.12</v>
      </c>
      <c r="C120" s="35" t="str">
        <f>'[3]1 lentelė'!C121</f>
        <v>R090019-380000-2226</v>
      </c>
      <c r="D120" s="35" t="str">
        <f>'[3]1 lentelė'!D121</f>
        <v>Bešeimininkių apleistų pastatų likvidavimas Zarasų rajone</v>
      </c>
      <c r="E120" s="83" t="s">
        <v>1396</v>
      </c>
    </row>
    <row r="121" spans="1:21" ht="38.25" x14ac:dyDescent="0.25">
      <c r="B121" s="81" t="str">
        <f>'[3]1 lentelė'!B122</f>
        <v xml:space="preserve">2.3 </v>
      </c>
      <c r="C121" s="81">
        <f>'[3]1 lentelė'!C122</f>
        <v>0</v>
      </c>
      <c r="D121" s="81" t="str">
        <f>'[3]1 lentelė'!D122</f>
        <v>Tikslas: Verslo ir investicijų skatinimas bei pramonės potencialo skatinimas</v>
      </c>
      <c r="E121" s="81"/>
    </row>
    <row r="122" spans="1:21" ht="38.25" x14ac:dyDescent="0.25">
      <c r="B122" s="82" t="str">
        <f>'[3]1 lentelė'!B123</f>
        <v>2.3.1</v>
      </c>
      <c r="C122" s="82">
        <f>'[3]1 lentelė'!C123</f>
        <v>0</v>
      </c>
      <c r="D122" s="82" t="str">
        <f>'[3]1 lentelė'!D123</f>
        <v>Uždavinys: Sukurti infrastruktūrą ir palankią aplinką vidaus ir užsienio investuotojams</v>
      </c>
      <c r="E122" s="82"/>
    </row>
    <row r="123" spans="1:21" ht="76.5" x14ac:dyDescent="0.25">
      <c r="B123" s="59" t="str">
        <f>'[3]1 lentelė'!B124</f>
        <v>2.3.1.1</v>
      </c>
      <c r="C123" s="59">
        <f>'[3]1 lentelė'!C124</f>
        <v>0</v>
      </c>
      <c r="D123" s="59" t="str">
        <f>'[3]1 lentelė'!D124</f>
        <v>Priemonė: Sukurti ir (arba) išplėtoti pramoninių parkų infrastruktūrą ir taip sudaryti sąlygas pritraukti tiesioginių užsienio investicijų sumanios specializacijos srityse (valstybinė SMART PARK LT)</v>
      </c>
      <c r="E123" s="59"/>
    </row>
    <row r="124" spans="1:21" ht="96" x14ac:dyDescent="0.25">
      <c r="B124" s="35" t="str">
        <f>'[3]1 lentelė'!B125</f>
        <v>2.3.1.1.1</v>
      </c>
      <c r="C124" s="35" t="str">
        <f>'[3]1 lentelė'!C125</f>
        <v>R098830-360000-2301</v>
      </c>
      <c r="D124" s="35" t="str">
        <f>'[3]1 lentelė'!D125</f>
        <v>Investicijos į Visagine kuriamo pramoninio parko (SMART PARK) inžinerinius tinklus ir susisiekimo komunikacijas bei pramoninio parko rinkodarą</v>
      </c>
      <c r="E124" s="83" t="s">
        <v>866</v>
      </c>
    </row>
    <row r="125" spans="1:21" ht="25.5" x14ac:dyDescent="0.25">
      <c r="A125" s="69"/>
      <c r="B125" s="69" t="str">
        <f>'[3]1 lentelė'!B126</f>
        <v>2.3.2</v>
      </c>
      <c r="C125" s="69"/>
      <c r="D125" s="69" t="str">
        <f>'[3]1 lentelė'!D126</f>
        <v>Uždavinys: Skatinti bendruomeninį-socialinį verslą</v>
      </c>
      <c r="E125" s="69"/>
    </row>
    <row r="126" spans="1:21" ht="25.5" x14ac:dyDescent="0.25">
      <c r="A126" s="62"/>
      <c r="B126" s="59" t="str">
        <f>'[3]1 lentelė'!B127</f>
        <v>2.3.2.1</v>
      </c>
      <c r="C126" s="59"/>
      <c r="D126" s="59" t="str">
        <f>'[3]1 lentelė'!D127</f>
        <v>Priemonė: konkursinė, VVG strategijų įgyvendinimas</v>
      </c>
      <c r="E126" s="59"/>
    </row>
    <row r="127" spans="1:21" ht="51" x14ac:dyDescent="0.25">
      <c r="A127" s="278"/>
      <c r="B127" s="26" t="str">
        <f>'[3]1 lentelė'!B128</f>
        <v>2.3.3</v>
      </c>
      <c r="C127" s="26"/>
      <c r="D127" s="26" t="str">
        <f>'[3]1 lentelė'!D128</f>
        <v>Uždavinys:  Didinti regiono konkurencingumą skatinant tarpregioninį bendradarbiavimą ir partnerystę</v>
      </c>
      <c r="E127" s="26"/>
    </row>
    <row r="128" spans="1:21" ht="25.5" x14ac:dyDescent="0.25">
      <c r="A128" s="35"/>
      <c r="B128" s="27" t="str">
        <f>'[3]1 lentelė'!B129</f>
        <v>2.3.3.1</v>
      </c>
      <c r="C128" s="27"/>
      <c r="D128" s="27" t="str">
        <f>'[3]1 lentelė'!D129</f>
        <v>Priemonė: Skatinti užimtumą regione</v>
      </c>
      <c r="E128" s="27"/>
    </row>
    <row r="129" spans="2:5" ht="51" x14ac:dyDescent="0.25">
      <c r="B129" s="35" t="str">
        <f>'[3]1 lentelė'!B130</f>
        <v>2.3.3.1.1</v>
      </c>
      <c r="C129" s="35" t="str">
        <f>'[3]1 lentelė'!C130</f>
        <v>R09B000-510000-2302</v>
      </c>
      <c r="D129" s="35" t="str">
        <f>'[3]1 lentelė'!D130</f>
        <v>Pasaulinio medicininių produktų gamintojo plėtros projektas                         (URPT 2018-06-07 sprendimas Nr.51/7S-31)</v>
      </c>
      <c r="E129" s="80"/>
    </row>
    <row r="130" spans="2:5" ht="25.5" x14ac:dyDescent="0.25">
      <c r="B130" s="63" t="str">
        <f>'[3]1 lentelė'!B131</f>
        <v>3.</v>
      </c>
      <c r="C130" s="63"/>
      <c r="D130" s="63" t="str">
        <f>'[3]1 lentelė'!D131</f>
        <v>Prioritetas: Gyvenimo kokybės gerinimas</v>
      </c>
      <c r="E130" s="63"/>
    </row>
    <row r="131" spans="2:5" ht="25.5" x14ac:dyDescent="0.25">
      <c r="B131" s="66" t="str">
        <f>'[3]1 lentelė'!B132</f>
        <v xml:space="preserve">3.1 </v>
      </c>
      <c r="C131" s="66"/>
      <c r="D131" s="66" t="str">
        <f>'[3]1 lentelė'!D132</f>
        <v>Tikslas: Mokymosi visą gyvenimą ir kūrybiškumo skatinimas</v>
      </c>
      <c r="E131" s="66"/>
    </row>
    <row r="132" spans="2:5" ht="38.25" x14ac:dyDescent="0.25">
      <c r="B132" s="69" t="str">
        <f>'[3]1 lentelė'!B133</f>
        <v>3.1.1</v>
      </c>
      <c r="C132" s="69"/>
      <c r="D132" s="69" t="str">
        <f>'[3]1 lentelė'!D133</f>
        <v>Uždavinys: Gerinti švietimo kokybę, modernizuojant švietimo infrastruktūrą</v>
      </c>
      <c r="E132" s="69"/>
    </row>
    <row r="133" spans="2:5" ht="38.25" x14ac:dyDescent="0.25">
      <c r="B133" s="59" t="str">
        <f>'[3]1 lentelė'!B134</f>
        <v>3.1.1.1</v>
      </c>
      <c r="C133" s="59"/>
      <c r="D133" s="59" t="str">
        <f>'[3]1 lentelė'!D134</f>
        <v>Priemonė: Ikimokyklinio ir priešmokyklinio ugdymo prieinamumo didinimas</v>
      </c>
      <c r="E133" s="59"/>
    </row>
    <row r="134" spans="2:5" ht="156" x14ac:dyDescent="0.25">
      <c r="B134" s="35" t="str">
        <f>'[3]1 lentelė'!B136</f>
        <v>3.1.1.1.2</v>
      </c>
      <c r="C134" s="35" t="str">
        <f>'[3]1 lentelė'!C136</f>
        <v>R097705-230000-3102</v>
      </c>
      <c r="D134" s="35" t="str">
        <f>'[3]1 lentelė'!D136</f>
        <v>Utenos vaikų lopšelio darželio „Šaltinėlis“ vidaus patalpų modernizavimas</v>
      </c>
      <c r="E134" s="83" t="s">
        <v>813</v>
      </c>
    </row>
    <row r="135" spans="2:5" ht="127.5" customHeight="1" x14ac:dyDescent="0.25">
      <c r="B135" s="35" t="str">
        <f>'[3]1 lentelė'!B137</f>
        <v>3.1.1.1.3</v>
      </c>
      <c r="C135" s="35" t="str">
        <f>'[3]1 lentelė'!C137</f>
        <v>R097705-230000-3103</v>
      </c>
      <c r="D135" s="35" t="str">
        <f>'[3]1 lentelė'!D137</f>
        <v>Utenos vaikų lopšelio – darželio ,,Pasaka" vidaus patalpų modernizavimas</v>
      </c>
      <c r="E135" s="83" t="s">
        <v>1397</v>
      </c>
    </row>
    <row r="136" spans="2:5" ht="25.5" x14ac:dyDescent="0.25">
      <c r="B136" s="59" t="str">
        <f>'[3]1 lentelė'!B138</f>
        <v>3.1.1.2</v>
      </c>
      <c r="C136" s="59"/>
      <c r="D136" s="59" t="str">
        <f>'[3]1 lentelė'!D138</f>
        <v>Priemonė:  Mokyklų tinklo efektyvumo didinimas</v>
      </c>
      <c r="E136" s="59"/>
    </row>
    <row r="137" spans="2:5" ht="144" x14ac:dyDescent="0.25">
      <c r="B137" s="35" t="str">
        <f>'[3]1 lentelė'!B139</f>
        <v>3.1.1.2.1</v>
      </c>
      <c r="C137" s="35" t="str">
        <f>'[3]1 lentelė'!C139</f>
        <v>R097724-220000-3103</v>
      </c>
      <c r="D137" s="35" t="str">
        <f>'[3]1 lentelė'!D139</f>
        <v xml:space="preserve">Anykščių miesto A.Vienuolio progimnazijos modernizavimas (vidaus erdvių remontas ir aprūpinimas įranga) </v>
      </c>
      <c r="E137" s="83" t="s">
        <v>815</v>
      </c>
    </row>
    <row r="138" spans="2:5" ht="217.5" customHeight="1" x14ac:dyDescent="0.25">
      <c r="B138" s="35" t="str">
        <f>'[3]1 lentelė'!B140</f>
        <v>3.1.1.2.2</v>
      </c>
      <c r="C138" s="35" t="str">
        <f>'[3]1 lentelė'!C140</f>
        <v>R097724-220000-3104</v>
      </c>
      <c r="D138" s="35" t="str">
        <f>'[3]1 lentelė'!D140</f>
        <v xml:space="preserve">„Kūrybiškumą skatinančių edukacinių erdvių kūrimas Molėtų gimnazijos vidaus patalpose“ </v>
      </c>
      <c r="E138" s="83" t="s">
        <v>814</v>
      </c>
    </row>
    <row r="139" spans="2:5" ht="134.25" customHeight="1" x14ac:dyDescent="0.25">
      <c r="B139" s="35" t="str">
        <f>'[3]1 lentelė'!B141</f>
        <v>3.1.1.2.3</v>
      </c>
      <c r="C139" s="35" t="str">
        <f>'[3]1 lentelė'!C141</f>
        <v>R097724-220000-3105</v>
      </c>
      <c r="D139" s="35" t="str">
        <f>'[3]1 lentelė'!D141</f>
        <v xml:space="preserve">„Edukacinių erdvių kūrimas Ignalinos Česlovo Kudabos progimnazijoje“ </v>
      </c>
      <c r="E139" s="83" t="s">
        <v>816</v>
      </c>
    </row>
    <row r="140" spans="2:5" ht="25.5" x14ac:dyDescent="0.25">
      <c r="B140" s="82" t="str">
        <f>'[3]1 lentelė'!B142</f>
        <v>3.1.2</v>
      </c>
      <c r="C140" s="82">
        <f>'[3]1 lentelė'!C142</f>
        <v>0</v>
      </c>
      <c r="D140" s="82" t="str">
        <f>'[3]1 lentelė'!D142</f>
        <v>Uždavinys: Plėtoti neformalaus ugdymosi galimybes</v>
      </c>
      <c r="E140" s="82"/>
    </row>
    <row r="141" spans="2:5" ht="25.5" x14ac:dyDescent="0.25">
      <c r="B141" s="59" t="str">
        <f>'[3]1 lentelė'!B143</f>
        <v>3.1.2.1</v>
      </c>
      <c r="C141" s="59">
        <f>'[3]1 lentelė'!C143</f>
        <v>0</v>
      </c>
      <c r="D141" s="59" t="str">
        <f>'[3]1 lentelė'!D143</f>
        <v>Priemonė: Neformaliojo švietimo infrastruktūros tobulinimas</v>
      </c>
      <c r="E141" s="59"/>
    </row>
    <row r="142" spans="2:5" ht="108" x14ac:dyDescent="0.25">
      <c r="B142" s="35" t="str">
        <f>'[3]1 lentelė'!B144</f>
        <v>3.1.2.1.1</v>
      </c>
      <c r="C142" s="35" t="str">
        <f>'[3]1 lentelė'!C144</f>
        <v>R097725-240000-3106</v>
      </c>
      <c r="D142" s="35" t="str">
        <f>'[3]1 lentelė'!D144</f>
        <v xml:space="preserve">Vaikų ir jaunimo neformalaus ugdymosi galimybių plėtra Anykščių kūno kultūros ir sporto centrui priklausančiuose A. Vienuolio progimnazijos patalpose </v>
      </c>
      <c r="E142" s="83" t="s">
        <v>818</v>
      </c>
    </row>
    <row r="143" spans="2:5" ht="149.25" customHeight="1" x14ac:dyDescent="0.25">
      <c r="B143" s="35" t="str">
        <f>'[3]1 lentelė'!B145</f>
        <v xml:space="preserve">3.1.2.1.2 </v>
      </c>
      <c r="C143" s="35" t="str">
        <f>'[3]1 lentelė'!C145</f>
        <v>R097725-243200-3107</v>
      </c>
      <c r="D143" s="35" t="str">
        <f>'[3]1 lentelė'!D145</f>
        <v>Zarasų sporto centro erdvių atnaujinimas</v>
      </c>
      <c r="E143" s="83" t="s">
        <v>817</v>
      </c>
    </row>
    <row r="144" spans="2:5" ht="25.5" x14ac:dyDescent="0.25">
      <c r="B144" s="66" t="str">
        <f>'[3]1 lentelė'!B146</f>
        <v xml:space="preserve">3.2 </v>
      </c>
      <c r="C144" s="66"/>
      <c r="D144" s="66" t="str">
        <f>'[3]1 lentelė'!D146</f>
        <v>Tikslas: Viešųjų paslaugų prieinamumo didinimas</v>
      </c>
      <c r="E144" s="66"/>
    </row>
    <row r="145" spans="2:21" ht="25.5" x14ac:dyDescent="0.25">
      <c r="B145" s="69" t="str">
        <f>'[3]1 lentelė'!B147</f>
        <v>3.2.1</v>
      </c>
      <c r="C145" s="69"/>
      <c r="D145" s="69" t="str">
        <f>'[3]1 lentelė'!D147</f>
        <v>Uždavinys: Užtikrinti kokybišką ir prieinamą sveikatos priežiūrą</v>
      </c>
      <c r="E145" s="69"/>
    </row>
    <row r="146" spans="2:21" ht="38.25" x14ac:dyDescent="0.25">
      <c r="B146" s="59" t="str">
        <f>'[3]1 lentelė'!B148</f>
        <v>3.2.1.1</v>
      </c>
      <c r="C146" s="59"/>
      <c r="D146" s="59" t="str">
        <f>'[3]1 lentelė'!D148</f>
        <v>Priemonė: Pirminės asmens ir visuomenės sveikatos priežiūros veiklos efektyvumo didinimas</v>
      </c>
      <c r="E146" s="59"/>
    </row>
    <row r="147" spans="2:21" ht="300" x14ac:dyDescent="0.25">
      <c r="B147" s="35" t="str">
        <f>'[3]1 lentelė'!B149</f>
        <v>3.2.1.1.1</v>
      </c>
      <c r="C147" s="35" t="str">
        <f>'[3]1 lentelė'!C149</f>
        <v>R096609-270000-3236</v>
      </c>
      <c r="D147" s="35" t="str">
        <f>'[3]1 lentelė'!D149</f>
        <v>Anykščių rajono savivaldybės gyventojų sveikatos stiprinimas gerinant pirminės sveikatos priežiūros paslaugų prieinamumą ir kokybę</v>
      </c>
      <c r="E147" s="83" t="s">
        <v>821</v>
      </c>
    </row>
    <row r="148" spans="2:21" ht="156" x14ac:dyDescent="0.25">
      <c r="B148" s="35" t="str">
        <f>'[3]1 lentelė'!B150</f>
        <v>3.2.1.1.2</v>
      </c>
      <c r="C148" s="35" t="str">
        <f>'[3]1 lentelė'!C150</f>
        <v>R096609-270000-3237</v>
      </c>
      <c r="D148" s="35" t="str">
        <f>'[3]1 lentelė'!D150</f>
        <v>Pirminės sveikatos paslaugų gerinimas VšĮ Ignalinos rajono poliklinikoje</v>
      </c>
      <c r="E148" s="83" t="s">
        <v>823</v>
      </c>
      <c r="U148" s="1" t="s">
        <v>768</v>
      </c>
    </row>
    <row r="149" spans="2:21" ht="185.25" customHeight="1" x14ac:dyDescent="0.25">
      <c r="B149" s="35" t="str">
        <f>'[3]1 lentelė'!B151</f>
        <v>3.2.1.1.3</v>
      </c>
      <c r="C149" s="35" t="str">
        <f>'[3]1 lentelė'!C151</f>
        <v>R096609-270000-3238</v>
      </c>
      <c r="D149" s="35" t="str">
        <f>'[3]1 lentelė'!D151</f>
        <v>UAB „Ignalinos sveikatos centras“ pirminės asmens sveikatos priežiūros paslaugų teikimo efektyvumo didinimas</v>
      </c>
      <c r="E149" s="83" t="s">
        <v>819</v>
      </c>
    </row>
    <row r="150" spans="2:21" ht="204" x14ac:dyDescent="0.25">
      <c r="B150" s="35" t="str">
        <f>'[3]1 lentelė'!B152</f>
        <v>3.2.1.1.4</v>
      </c>
      <c r="C150" s="35" t="str">
        <f>'[3]1 lentelė'!C152</f>
        <v>R096609-270000-3239</v>
      </c>
      <c r="D150" s="35" t="str">
        <f>'[3]1 lentelė'!D152</f>
        <v>Molėtų r. pirminės sveikatos priežiūros centro veiklos efektyvumo didinimas</v>
      </c>
      <c r="E150" s="83" t="s">
        <v>822</v>
      </c>
    </row>
    <row r="151" spans="2:21" ht="207" customHeight="1" x14ac:dyDescent="0.25">
      <c r="B151" s="35" t="str">
        <f>'[3]1 lentelė'!B153</f>
        <v>3.2.1.1.5</v>
      </c>
      <c r="C151" s="35" t="str">
        <f>'[3]1 lentelė'!C153</f>
        <v>R096609-270000-3240</v>
      </c>
      <c r="D151" s="35" t="str">
        <f>'[3]1 lentelė'!D153</f>
        <v>Pirminės asmens sveikatos priežiūros veiklos efektyvumo didinimas Utenos rajone</v>
      </c>
      <c r="E151" s="83" t="s">
        <v>826</v>
      </c>
    </row>
    <row r="152" spans="2:21" ht="168" x14ac:dyDescent="0.25">
      <c r="B152" s="35" t="str">
        <f>'[3]1 lentelė'!B154</f>
        <v>3.2.1.1.6</v>
      </c>
      <c r="C152" s="35" t="str">
        <f>'[3]1 lentelė'!C154</f>
        <v>R096609-270000-3241</v>
      </c>
      <c r="D152" s="35" t="str">
        <f>'[3]1 lentelė'!D154</f>
        <v>UAB "Dilina" teikiamų paslaugų efektyvumo didinimas</v>
      </c>
      <c r="E152" s="83" t="s">
        <v>824</v>
      </c>
    </row>
    <row r="153" spans="2:21" ht="360" x14ac:dyDescent="0.25">
      <c r="B153" s="35" t="str">
        <f>'[3]1 lentelė'!B155</f>
        <v>3.2.1.1.7</v>
      </c>
      <c r="C153" s="35" t="str">
        <f>'[3]1 lentelė'!C155</f>
        <v>R096609-270000-3242</v>
      </c>
      <c r="D153" s="35" t="str">
        <f>'[3]1 lentelė'!D155</f>
        <v>Pirminės asmens sveikatos priežiūros paslaugų kokybės ir prieinamumo gerinimas Zarasų rajono savivaldybėje</v>
      </c>
      <c r="E153" s="83" t="s">
        <v>820</v>
      </c>
    </row>
    <row r="154" spans="2:21" ht="194.25" customHeight="1" x14ac:dyDescent="0.25">
      <c r="B154" s="35" t="str">
        <f>'[3]1 lentelė'!B156</f>
        <v>3.2.1.1.8</v>
      </c>
      <c r="C154" s="35" t="str">
        <f>'[3]1 lentelė'!C156</f>
        <v>R096609-270000-3243</v>
      </c>
      <c r="D154" s="35" t="str">
        <f>'[3]1 lentelė'!D156</f>
        <v>Pirminės asmens sveikatos priežiūros veiklos efektyvumo didinimas VšĮ Visagino  pirminės sveikatos priežiūros centre</v>
      </c>
      <c r="E154" s="83" t="s">
        <v>825</v>
      </c>
    </row>
    <row r="155" spans="2:21" ht="89.25" customHeight="1" x14ac:dyDescent="0.25">
      <c r="B155" s="35" t="str">
        <f>'[3]1 lentelė'!B157</f>
        <v>3.2.1.1.9</v>
      </c>
      <c r="C155" s="35" t="str">
        <f>'[3]1 lentelė'!C157</f>
        <v>R096609-270000-3244</v>
      </c>
      <c r="D155" s="35" t="str">
        <f>'[3]1 lentelė'!D157</f>
        <v>Asmens sveikatos priežiūros  kokybės gerinimas Utenos rajono gyventojams</v>
      </c>
      <c r="E155" s="83" t="s">
        <v>1398</v>
      </c>
    </row>
    <row r="156" spans="2:21" ht="63.75" x14ac:dyDescent="0.25">
      <c r="B156" s="59" t="str">
        <f>'[3]1 lentelė'!B158</f>
        <v>3.2.1.2</v>
      </c>
      <c r="C156" s="59">
        <f>'[3]1 lentelė'!C158</f>
        <v>0</v>
      </c>
      <c r="D156" s="59" t="str">
        <f>'[3]1 lentelė'!D158</f>
        <v>Priemonė: Priemonių, gerinančių ambulatorinių sveikatos priežiūros paslaugų prieinamumą tuberkulioze sergantiems asmenims, įgyvendinimas</v>
      </c>
      <c r="E156" s="59"/>
    </row>
    <row r="157" spans="2:21" ht="85.5" customHeight="1" x14ac:dyDescent="0.25">
      <c r="B157" s="35" t="str">
        <f>'[3]1 lentelė'!B159</f>
        <v>3.2.1.2.1</v>
      </c>
      <c r="C157" s="35" t="str">
        <f>'[3]1 lentelė'!C159</f>
        <v>R096615-470000-3201</v>
      </c>
      <c r="D157" s="35" t="str">
        <f>'[3]1 lentelė'!D159</f>
        <v>Tuberkuliozės gydymo skatinimas Anykščių rajono
savivaldybėje</v>
      </c>
      <c r="E157" s="83" t="s">
        <v>827</v>
      </c>
    </row>
    <row r="158" spans="2:21" ht="159.75" customHeight="1" x14ac:dyDescent="0.25">
      <c r="B158" s="35" t="str">
        <f>'[3]1 lentelė'!B160</f>
        <v>3.2.1.2.2</v>
      </c>
      <c r="C158" s="35" t="str">
        <f>'[3]1 lentelė'!C160</f>
        <v>R096615-470000-3202</v>
      </c>
      <c r="D158" s="35" t="str">
        <f>'[3]1 lentelė'!D160</f>
        <v>Sergamumo ir mirtingumo mažinimas nuo tuberkuliozės Ignalinos rajone</v>
      </c>
      <c r="E158" s="83" t="s">
        <v>828</v>
      </c>
    </row>
    <row r="159" spans="2:21" ht="302.25" customHeight="1" x14ac:dyDescent="0.25">
      <c r="B159" s="35" t="str">
        <f>'[3]1 lentelė'!B161</f>
        <v>3.2.1.2.3</v>
      </c>
      <c r="C159" s="35" t="str">
        <f>'[3]1 lentelė'!C161</f>
        <v>R096615-470000-3203</v>
      </c>
      <c r="D159" s="35" t="str">
        <f>'[3]1 lentelė'!D161</f>
        <v>Paslaugų prieinamumo priemonių tuberkulioze sergantiems asmenims įgyvendinimas  Molėtų rajone</v>
      </c>
      <c r="E159" s="83" t="s">
        <v>829</v>
      </c>
    </row>
    <row r="160" spans="2:21" ht="264" customHeight="1" x14ac:dyDescent="0.25">
      <c r="B160" s="35" t="str">
        <f>'[3]1 lentelė'!B162</f>
        <v>3.2.1.2.4</v>
      </c>
      <c r="C160" s="35" t="str">
        <f>'[3]1 lentelė'!C162</f>
        <v>R096615-470000-3204</v>
      </c>
      <c r="D160" s="35" t="str">
        <f>'[3]1 lentelė'!D162</f>
        <v>Priemonių, gerinančių ambulatorinių sveikatos priežiūros paslaugų prieinamumą tuberkulioze sergantiems asmenims, įgyvendinimas Utenos rajone</v>
      </c>
      <c r="E160" s="83" t="s">
        <v>830</v>
      </c>
    </row>
    <row r="161" spans="2:21" ht="252.75" customHeight="1" x14ac:dyDescent="0.25">
      <c r="B161" s="35" t="str">
        <f>'[3]1 lentelė'!B163</f>
        <v>3.2.1.2.5</v>
      </c>
      <c r="C161" s="35" t="str">
        <f>'[3]1 lentelė'!C163</f>
        <v>R096615-470000-3205</v>
      </c>
      <c r="D161" s="35" t="str">
        <f>'[3]1 lentelė'!D163</f>
        <v>Sergamumo ir mirtingumo mažinimas nuo tuberkuliozės Visagino savivaldybėje</v>
      </c>
      <c r="E161" s="83" t="s">
        <v>832</v>
      </c>
    </row>
    <row r="162" spans="2:21" ht="120" x14ac:dyDescent="0.25">
      <c r="B162" s="35" t="str">
        <f>'[3]1 lentelė'!B164</f>
        <v>3.2.1.2.6</v>
      </c>
      <c r="C162" s="35" t="str">
        <f>'[3]1 lentelė'!C164</f>
        <v>R096615-470000-3206</v>
      </c>
      <c r="D162" s="35" t="str">
        <f>'[3]1 lentelė'!D164</f>
        <v>Priemonių, gerinančių ambulatorinių sveikatos priežiūros paslaugų prieinamumą tuberkulioze sergantiems asmenims, įgyvendinimas Zarasų rajono savivaldybėje</v>
      </c>
      <c r="E162" s="83" t="s">
        <v>831</v>
      </c>
    </row>
    <row r="163" spans="2:21" ht="38.25" x14ac:dyDescent="0.25">
      <c r="B163" s="69" t="str">
        <f>'[3]1 lentelė'!B165</f>
        <v>3.2.2</v>
      </c>
      <c r="C163" s="69"/>
      <c r="D163" s="69" t="str">
        <f>'[3]1 lentelė'!D165</f>
        <v>Uždavinys: Skatinti sveiką gyvenseną ir visuomenės sveikatos raštingumą</v>
      </c>
      <c r="E163" s="69"/>
    </row>
    <row r="164" spans="2:21" ht="25.5" x14ac:dyDescent="0.25">
      <c r="B164" s="59" t="str">
        <f>'[3]1 lentelė'!B166</f>
        <v>3.2.2.1</v>
      </c>
      <c r="C164" s="59"/>
      <c r="D164" s="59" t="str">
        <f>'[3]1 lentelė'!D166</f>
        <v xml:space="preserve">Priemonė: Sveikos gyvensenos skatinimas regioniniu lygiu </v>
      </c>
      <c r="E164" s="59"/>
    </row>
    <row r="165" spans="2:21" ht="180" x14ac:dyDescent="0.25">
      <c r="B165" s="35" t="str">
        <f>'[3]1 lentelė'!B167</f>
        <v>3.2.2.1.1.</v>
      </c>
      <c r="C165" s="35" t="str">
        <f>'[3]1 lentelė'!C167</f>
        <v>R096630-470000-3207</v>
      </c>
      <c r="D165" s="35" t="str">
        <f>'[3]1 lentelė'!D167</f>
        <v>Sveikos gyvensenos skatinimas Anykščių rajono savivaldybėje</v>
      </c>
      <c r="E165" s="83" t="s">
        <v>837</v>
      </c>
    </row>
    <row r="166" spans="2:21" ht="270.75" customHeight="1" x14ac:dyDescent="0.25">
      <c r="B166" s="35" t="str">
        <f>'[3]1 lentelė'!B168</f>
        <v>3.2.2.1.2.</v>
      </c>
      <c r="C166" s="35" t="str">
        <f>'[3]1 lentelė'!C168</f>
        <v>R096630-470000-3208</v>
      </c>
      <c r="D166" s="35" t="str">
        <f>'[3]1 lentelė'!D168</f>
        <v>Sveikos gyvensenos skatinimas Molėtų rajono savivaldybėje</v>
      </c>
      <c r="E166" s="83" t="s">
        <v>834</v>
      </c>
    </row>
    <row r="167" spans="2:21" ht="267.75" customHeight="1" x14ac:dyDescent="0.25">
      <c r="B167" s="35" t="str">
        <f>'[3]1 lentelė'!B169</f>
        <v>3.2.2.1.3.</v>
      </c>
      <c r="C167" s="35" t="str">
        <f>'[3]1 lentelė'!C169</f>
        <v>R096630-470000-3209</v>
      </c>
      <c r="D167" s="35" t="str">
        <f>'[3]1 lentelė'!D169</f>
        <v>Sveikos gyvensenos skatinimas Utenos rajone</v>
      </c>
      <c r="E167" s="83" t="s">
        <v>838</v>
      </c>
    </row>
    <row r="168" spans="2:21" ht="324" x14ac:dyDescent="0.25">
      <c r="B168" s="35" t="str">
        <f>'[3]1 lentelė'!B170</f>
        <v>3.2.2.1.4.</v>
      </c>
      <c r="C168" s="35" t="str">
        <f>'[3]1 lentelė'!C170</f>
        <v>R096630-470000-3210</v>
      </c>
      <c r="D168" s="35" t="str">
        <f>'[3]1 lentelė'!D170</f>
        <v>Sveikos gyvensenos skatinimas Zarasų rajono savivaldybėje</v>
      </c>
      <c r="E168" s="83" t="s">
        <v>835</v>
      </c>
    </row>
    <row r="169" spans="2:21" ht="183.75" customHeight="1" x14ac:dyDescent="0.25">
      <c r="B169" s="35" t="str">
        <f>'[3]1 lentelė'!B171</f>
        <v>3.2.2.1.5.</v>
      </c>
      <c r="C169" s="35" t="str">
        <f>'[3]1 lentelė'!C171</f>
        <v>R096630-470000-32011</v>
      </c>
      <c r="D169" s="35" t="str">
        <f>'[3]1 lentelė'!D171</f>
        <v>Sveikos gyvensenos skatinimas Ignalinos rajone</v>
      </c>
      <c r="E169" s="83" t="s">
        <v>836</v>
      </c>
    </row>
    <row r="170" spans="2:21" ht="169.5" customHeight="1" x14ac:dyDescent="0.25">
      <c r="B170" s="35" t="str">
        <f>'[3]1 lentelė'!B172</f>
        <v>3.2.2.1.6.</v>
      </c>
      <c r="C170" s="35" t="str">
        <f>'[3]1 lentelė'!C172</f>
        <v>R096630-470000-3212</v>
      </c>
      <c r="D170" s="35" t="str">
        <f>'[3]1 lentelė'!D172</f>
        <v>Vaikų  sveikos  gyvensenos  skatinimas Visagino savivaldybėje</v>
      </c>
      <c r="E170" s="83" t="s">
        <v>833</v>
      </c>
    </row>
    <row r="171" spans="2:21" ht="72" x14ac:dyDescent="0.25">
      <c r="B171" s="35" t="str">
        <f>'[3]1 lentelė'!B173</f>
        <v>3.2.2.1.7.</v>
      </c>
      <c r="C171" s="35" t="str">
        <f>'[3]1 lentelė'!C173</f>
        <v>R096630-470000-3236</v>
      </c>
      <c r="D171" s="35" t="str">
        <f>'[3]1 lentelė'!D173</f>
        <v>Sveikos gyvensenos skatinimas Ignalinos rajone. II etapas</v>
      </c>
      <c r="E171" s="83" t="s">
        <v>865</v>
      </c>
    </row>
    <row r="172" spans="2:21" ht="51" x14ac:dyDescent="0.25">
      <c r="B172" s="69" t="str">
        <f>'[3]1 lentelė'!B174</f>
        <v>3.2.3</v>
      </c>
      <c r="C172" s="69">
        <f>'[3]1 lentelė'!C174</f>
        <v>0</v>
      </c>
      <c r="D172" s="69" t="str">
        <f>'[3]1 lentelė'!D174</f>
        <v>Uždavinys: Plėtoti socialinių paslaugų infrastruktūrą ir socialinio būsto fondą bei didinti jų prieinamumą</v>
      </c>
      <c r="E172" s="69"/>
    </row>
    <row r="173" spans="2:21" ht="25.5" x14ac:dyDescent="0.25">
      <c r="B173" s="59" t="str">
        <f>'[3]1 lentelė'!B175</f>
        <v>3.2.3.1</v>
      </c>
      <c r="C173" s="59">
        <f>'[3]1 lentelė'!C175</f>
        <v>0</v>
      </c>
      <c r="D173" s="59" t="str">
        <f>'[3]1 lentelė'!D175</f>
        <v>Priemonė: Socialinių paslaugų infrastruktūros plėtra</v>
      </c>
      <c r="E173" s="59"/>
    </row>
    <row r="174" spans="2:21" ht="180" x14ac:dyDescent="0.25">
      <c r="B174" s="35" t="str">
        <f>'[3]1 lentelė'!B176</f>
        <v>3.2.3.1.1</v>
      </c>
      <c r="C174" s="35" t="str">
        <f>'[3]1 lentelė'!C176</f>
        <v>R094407-270000-3213</v>
      </c>
      <c r="D174" s="35" t="str">
        <f>'[3]1 lentelė'!D176</f>
        <v>Anykščių rajono Svėdasų senelių globos namų modernizavimas</v>
      </c>
      <c r="E174" s="83" t="s">
        <v>841</v>
      </c>
    </row>
    <row r="175" spans="2:21" ht="159.75" customHeight="1" x14ac:dyDescent="0.25">
      <c r="B175" s="35" t="str">
        <f>'[3]1 lentelė'!B177</f>
        <v>3.2.3.1.2</v>
      </c>
      <c r="C175" s="35" t="str">
        <f>'[3]1 lentelė'!C177</f>
        <v>R094407-270000-3214</v>
      </c>
      <c r="D175" s="35" t="str">
        <f>'[3]1 lentelė'!D177</f>
        <v>Utenos rajono savivaldybės Leliūnų socialinės globos namų modernizavimas</v>
      </c>
      <c r="E175" s="83" t="s">
        <v>840</v>
      </c>
    </row>
    <row r="176" spans="2:21" ht="150.75" customHeight="1" x14ac:dyDescent="0.25">
      <c r="B176" s="35" t="str">
        <f>'[3]1 lentelė'!B178</f>
        <v>3.2.3.1.3</v>
      </c>
      <c r="C176" s="35" t="str">
        <f>'[3]1 lentelė'!C178</f>
        <v>R094407-270000-3215</v>
      </c>
      <c r="D176" s="35" t="str">
        <f>'[3]1 lentelė'!D178</f>
        <v>Zarasų rajono socialinių paslaugų centro nakvynės namų modernizavimas ir plėtra</v>
      </c>
      <c r="E176" s="83" t="s">
        <v>839</v>
      </c>
      <c r="U176" s="1" t="s">
        <v>769</v>
      </c>
    </row>
    <row r="177" spans="2:21" ht="168" x14ac:dyDescent="0.25">
      <c r="B177" s="35" t="str">
        <f>'[3]1 lentelė'!B179</f>
        <v>3.2.3.1.4</v>
      </c>
      <c r="C177" s="35" t="str">
        <f>'[3]1 lentelė'!C179</f>
        <v>R094407-270000-3216</v>
      </c>
      <c r="D177" s="35" t="str">
        <f>'[3]1 lentelė'!D179</f>
        <v>Apleisto (nenaudojamo) buvusio visuomeninio pastato konversija ir pritaikymas savarankiško gyvenimo namų Visagine įkūrimas</v>
      </c>
      <c r="E177" s="83" t="s">
        <v>842</v>
      </c>
    </row>
    <row r="178" spans="2:21" ht="25.5" x14ac:dyDescent="0.25">
      <c r="B178" s="59" t="str">
        <f>'[3]1 lentelė'!B180</f>
        <v>3.2.3.2</v>
      </c>
      <c r="C178" s="59"/>
      <c r="D178" s="59" t="str">
        <f>'[3]1 lentelė'!D180</f>
        <v>Priemonė: Socialinio būsto fondo plėtra</v>
      </c>
      <c r="E178" s="59"/>
    </row>
    <row r="179" spans="2:21" ht="108" x14ac:dyDescent="0.25">
      <c r="B179" s="35" t="str">
        <f>'[3]1 lentelė'!B181</f>
        <v>3.2.3.2.1</v>
      </c>
      <c r="C179" s="35" t="str">
        <f>'[3]1 lentelė'!C181</f>
        <v>R094408-252600-3217</v>
      </c>
      <c r="D179" s="35" t="str">
        <f>'[3]1 lentelė'!D181</f>
        <v>Socialinio būsto fondo plėtra Ignalinos rajono savivaldybėje</v>
      </c>
      <c r="E179" s="83" t="s">
        <v>846</v>
      </c>
    </row>
    <row r="180" spans="2:21" ht="110.25" customHeight="1" x14ac:dyDescent="0.25">
      <c r="B180" s="35" t="str">
        <f>'[3]1 lentelė'!B182</f>
        <v>3.2.3.2.2</v>
      </c>
      <c r="C180" s="35" t="str">
        <f>'[3]1 lentelė'!C182</f>
        <v>R094408-250000-3218</v>
      </c>
      <c r="D180" s="35" t="str">
        <f>'[3]1 lentelė'!D182</f>
        <v>Bendrabučio tipo pastato, esančio Visagine,  Kosmoso 28, patalpų pritaikymas socialinio būsto įrengimui</v>
      </c>
      <c r="E180" s="83" t="s">
        <v>845</v>
      </c>
    </row>
    <row r="181" spans="2:21" ht="156" x14ac:dyDescent="0.25">
      <c r="B181" s="35" t="str">
        <f>'[3]1 lentelė'!B183</f>
        <v>3.2.3.2.3</v>
      </c>
      <c r="C181" s="35" t="str">
        <f>'[3]1 lentelė'!C183</f>
        <v>R094408-250000-3219</v>
      </c>
      <c r="D181" s="35" t="str">
        <f>'[3]1 lentelė'!D183</f>
        <v>Socialinio būsto fondo plėtra Anykščių rajono savivaldybėje</v>
      </c>
      <c r="E181" s="83" t="s">
        <v>844</v>
      </c>
    </row>
    <row r="182" spans="2:21" ht="84" x14ac:dyDescent="0.25">
      <c r="B182" s="35" t="str">
        <f>'[3]1 lentelė'!B184</f>
        <v>3.2.3.2.4</v>
      </c>
      <c r="C182" s="35" t="str">
        <f>'[3]1 lentelė'!C184</f>
        <v>R094408-262500-3220</v>
      </c>
      <c r="D182" s="35" t="str">
        <f>'[3]1 lentelė'!D184</f>
        <v>Socialinio būsto fondo plėtra Molėtų rajono savivaldybėje</v>
      </c>
      <c r="E182" s="83" t="s">
        <v>847</v>
      </c>
    </row>
    <row r="183" spans="2:21" ht="123" customHeight="1" x14ac:dyDescent="0.25">
      <c r="B183" s="35" t="str">
        <f>'[3]1 lentelė'!B185</f>
        <v>3.2.3.2.5</v>
      </c>
      <c r="C183" s="35" t="str">
        <f>'[3]1 lentelė'!C185</f>
        <v>R094408-260000-3221</v>
      </c>
      <c r="D183" s="35" t="str">
        <f>'[3]1 lentelė'!D185</f>
        <v>Socialinio būsto fondo plėtra Zarasų rajono savivaldybėje</v>
      </c>
      <c r="E183" s="83" t="s">
        <v>848</v>
      </c>
    </row>
    <row r="184" spans="2:21" ht="108" x14ac:dyDescent="0.25">
      <c r="B184" s="35" t="str">
        <f>'[3]1 lentelė'!B186</f>
        <v>3.2.3.2.6</v>
      </c>
      <c r="C184" s="35" t="str">
        <f>'[3]1 lentelė'!C186</f>
        <v>R094408-260000-3222</v>
      </c>
      <c r="D184" s="35" t="str">
        <f>'[3]1 lentelė'!D186</f>
        <v>Socialinio būsto fondo plėtra Utenos rajono savivaldybėje</v>
      </c>
      <c r="E184" s="83" t="s">
        <v>843</v>
      </c>
    </row>
    <row r="185" spans="2:21" ht="25.5" x14ac:dyDescent="0.25">
      <c r="B185" s="69" t="str">
        <f>'[3]1 lentelė'!B187</f>
        <v>3.2.4</v>
      </c>
      <c r="C185" s="69"/>
      <c r="D185" s="69" t="str">
        <f>'[3]1 lentelė'!D187</f>
        <v>Uždavinys: Plėtoti kultūros paslaugas ir infrastruktūrą</v>
      </c>
      <c r="E185" s="69"/>
    </row>
    <row r="186" spans="2:21" ht="38.25" x14ac:dyDescent="0.25">
      <c r="B186" s="59" t="str">
        <f>'[3]1 lentelė'!B188</f>
        <v>3.2.4.1</v>
      </c>
      <c r="C186" s="59"/>
      <c r="D186" s="59" t="str">
        <f>'[3]1 lentelė'!D188</f>
        <v>Priemonė: Modernizuoti savivaldybių kultūros infrastuktūrą</v>
      </c>
      <c r="E186" s="59"/>
    </row>
    <row r="187" spans="2:21" ht="136.5" customHeight="1" x14ac:dyDescent="0.25">
      <c r="B187" s="35" t="str">
        <f>'[3]1 lentelė'!B189</f>
        <v>3.2.4.1.1</v>
      </c>
      <c r="C187" s="35" t="str">
        <f>'[3]1 lentelė'!C189</f>
        <v>R093305-330000-3223</v>
      </c>
      <c r="D187" s="35" t="str">
        <f>'[3]1 lentelė'!D189</f>
        <v xml:space="preserve">Ignalinos rajono savivaldybės viešosios bibliotekos infrastruktūros pritaikymas vietos bendruomenės poreikiams </v>
      </c>
      <c r="E187" s="83" t="s">
        <v>849</v>
      </c>
      <c r="U187" s="1" t="s">
        <v>769</v>
      </c>
    </row>
    <row r="188" spans="2:21" ht="144" x14ac:dyDescent="0.25">
      <c r="B188" s="35" t="str">
        <f>'[3]1 lentelė'!B190</f>
        <v>3.2.4.1.2</v>
      </c>
      <c r="C188" s="35" t="str">
        <f>'[3]1 lentelė'!C190</f>
        <v>R093305-334300-3224</v>
      </c>
      <c r="D188" s="35" t="str">
        <f>'[3]1 lentelė'!D190</f>
        <v>Renginių infrastruktūros atnaujinimas Zarasų miesto Didžiojoje saloje</v>
      </c>
      <c r="E188" s="83" t="s">
        <v>851</v>
      </c>
    </row>
    <row r="189" spans="2:21" ht="168" x14ac:dyDescent="0.25">
      <c r="B189" s="35" t="str">
        <f>'[3]1 lentelė'!B191</f>
        <v>3.2.4.1.3</v>
      </c>
      <c r="C189" s="35" t="str">
        <f>'[3]1 lentelė'!C191</f>
        <v>R093305-330000-3225</v>
      </c>
      <c r="D189" s="35" t="str">
        <f>'[3]1 lentelė'!D191</f>
        <v>Molėtų miesto laisvalaikio ir pramogų infrastruktūros atnaujinimas ir plėtra Labanoro g. 1b, Molėtai</v>
      </c>
      <c r="E189" s="83" t="s">
        <v>850</v>
      </c>
      <c r="U189" s="1" t="s">
        <v>769</v>
      </c>
    </row>
    <row r="190" spans="2:21" ht="172.5" customHeight="1" x14ac:dyDescent="0.25">
      <c r="B190" s="35" t="str">
        <f>'[3]1 lentelė'!B192</f>
        <v>3.2.4.1.4</v>
      </c>
      <c r="C190" s="35" t="str">
        <f>'[3]1 lentelė'!C192</f>
        <v>R093305-330000-3226</v>
      </c>
      <c r="D190" s="35" t="str">
        <f>'[3]1 lentelė'!D192</f>
        <v>Buvusios Sedulinos mokyklos pastato pritaikymas Visagino kultūros centro ir bendruomenės reikmėms, įrengiant Kultūros, turizmo ir kūrybinio verslo miestą po vienu stogu.</v>
      </c>
      <c r="E190" s="83" t="s">
        <v>852</v>
      </c>
    </row>
    <row r="191" spans="2:21" ht="179.25" customHeight="1" x14ac:dyDescent="0.25">
      <c r="B191" s="35" t="str">
        <f>'[3]1 lentelė'!B193</f>
        <v>3.2.4.1.5</v>
      </c>
      <c r="C191" s="35" t="str">
        <f>'[3]1 lentelė'!C193</f>
        <v>R093305-330000-3227</v>
      </c>
      <c r="D191" s="35" t="str">
        <f>'[3]1 lentelė'!D193</f>
        <v>Lietuvos etnokosmologijos muziejaus paslaugų plėtros baigiamasis etapas</v>
      </c>
      <c r="E191" s="83" t="s">
        <v>853</v>
      </c>
    </row>
    <row r="192" spans="2:21" ht="156" x14ac:dyDescent="0.25">
      <c r="B192" s="35" t="str">
        <f>'[3]1 lentelė'!B194</f>
        <v>3.2.4.1.6</v>
      </c>
      <c r="C192" s="35" t="str">
        <f>'[3]1 lentelė'!C194</f>
        <v>R093305-330000-3228</v>
      </c>
      <c r="D192" s="35" t="str">
        <f>'[3]1 lentelė'!D194</f>
        <v>Utenos A. ir M. Miškinių viešosios bibliotekos modernizavimas</v>
      </c>
      <c r="E192" s="83" t="s">
        <v>854</v>
      </c>
    </row>
    <row r="193" spans="2:5" ht="24.75" customHeight="1" x14ac:dyDescent="0.25">
      <c r="B193" s="69" t="str">
        <f>'[3]1 lentelė'!B195</f>
        <v>3.2.5</v>
      </c>
      <c r="C193" s="69"/>
      <c r="D193" s="69" t="str">
        <f>'[3]1 lentelė'!D195</f>
        <v>Uždavinys: Gerinti viešąjį valdymą</v>
      </c>
      <c r="E193" s="69"/>
    </row>
    <row r="194" spans="2:5" ht="38.25" x14ac:dyDescent="0.25">
      <c r="B194" s="59" t="str">
        <f>'[3]1 lentelė'!B196</f>
        <v>3.2.5.1</v>
      </c>
      <c r="C194" s="59"/>
      <c r="D194" s="59" t="str">
        <f>'[3]1 lentelė'!D196</f>
        <v>Priemonė: Paslaugų ir asmenų aptarnavimo kokybės gerinimas savivaldybėse</v>
      </c>
      <c r="E194" s="59"/>
    </row>
    <row r="195" spans="2:5" ht="204" x14ac:dyDescent="0.25">
      <c r="B195" s="35" t="str">
        <f>'[3]1 lentelė'!B197</f>
        <v>3.2.5.1.1</v>
      </c>
      <c r="C195" s="35" t="str">
        <f>'[3]1 lentelė'!C197</f>
        <v>R099920-490000-3229</v>
      </c>
      <c r="D195" s="35" t="str">
        <f>'[3]1 lentelė'!D197</f>
        <v>Paslaugų ir asmenų aptarnavimo kokybės gerinimas Visagino  savivaldybėje</v>
      </c>
      <c r="E195" s="83" t="s">
        <v>855</v>
      </c>
    </row>
    <row r="196" spans="2:5" ht="240" x14ac:dyDescent="0.25">
      <c r="B196" s="35" t="str">
        <f>'[3]1 lentelė'!B198</f>
        <v>3.2.5.1.2</v>
      </c>
      <c r="C196" s="35" t="str">
        <f>'[3]1 lentelė'!C198</f>
        <v>R099920-490000-3230</v>
      </c>
      <c r="D196" s="35" t="str">
        <f>'[3]1 lentelė'!D198</f>
        <v>Paslaugų ir asmenų aptarnavimo kokybės gerinimas Molėtų rajono savivaldybėje</v>
      </c>
      <c r="E196" s="83" t="s">
        <v>858</v>
      </c>
    </row>
    <row r="197" spans="2:5" ht="291.75" customHeight="1" x14ac:dyDescent="0.25">
      <c r="B197" s="35" t="str">
        <f>'[3]1 lentelė'!B199</f>
        <v xml:space="preserve"> 3.2.5.1.3</v>
      </c>
      <c r="C197" s="35" t="str">
        <f>'[3]1 lentelė'!C199</f>
        <v>R099920-490000-3231</v>
      </c>
      <c r="D197" s="35" t="str">
        <f>'[3]1 lentelė'!D199</f>
        <v>Paslaugų ir asmenų aptarnavimo kokybės gerinimas Zarasų rajono savivaldybėje</v>
      </c>
      <c r="E197" s="83" t="s">
        <v>856</v>
      </c>
    </row>
    <row r="198" spans="2:5" ht="252" x14ac:dyDescent="0.25">
      <c r="B198" s="35" t="str">
        <f>'[3]1 lentelė'!B200</f>
        <v>3.2.5.1.4</v>
      </c>
      <c r="C198" s="35" t="str">
        <f>'[3]1 lentelė'!C200</f>
        <v>R099920-490000-3232</v>
      </c>
      <c r="D198" s="35" t="str">
        <f>'[3]1 lentelė'!D200</f>
        <v>Paslaugų ir asmenų aptarnavimo kokybės gerinimas Utenos rajono savivaldybėje, I etapas</v>
      </c>
      <c r="E198" s="83" t="s">
        <v>857</v>
      </c>
    </row>
    <row r="199" spans="2:5" ht="292.5" customHeight="1" x14ac:dyDescent="0.25">
      <c r="B199" s="35" t="str">
        <f>'[3]1 lentelė'!B201</f>
        <v xml:space="preserve"> 3.2.5.1.5</v>
      </c>
      <c r="C199" s="35" t="str">
        <f>'[3]1 lentelė'!C201</f>
        <v>R099920-490000-3233</v>
      </c>
      <c r="D199" s="35" t="str">
        <f>'[3]1 lentelė'!D201</f>
        <v>Paslaugų ir asmenų aptarnavimo kokybės gerinimas Anykščių savivaldybėje</v>
      </c>
      <c r="E199" s="83" t="s">
        <v>859</v>
      </c>
    </row>
    <row r="200" spans="2:5" ht="96" x14ac:dyDescent="0.25">
      <c r="B200" s="35" t="str">
        <f>'[3]1 lentelė'!B202</f>
        <v xml:space="preserve"> 3.2.5.1.6</v>
      </c>
      <c r="C200" s="35" t="str">
        <f>'[3]1 lentelė'!C202</f>
        <v>R099920-490000-3234</v>
      </c>
      <c r="D200" s="35" t="str">
        <f>'[3]1 lentelė'!D202</f>
        <v>Paslaugų ir asmenų aptarnavimo kokybės gerinimas Ignalinos rajono savivaldybėje</v>
      </c>
      <c r="E200" s="83" t="s">
        <v>860</v>
      </c>
    </row>
    <row r="201" spans="2:5" ht="76.5" x14ac:dyDescent="0.25">
      <c r="B201" s="35" t="str">
        <f>'[3]1 lentelė'!B203</f>
        <v>3.2.5.1.8</v>
      </c>
      <c r="C201" s="35" t="str">
        <f>'[3]1 lentelė'!C203</f>
        <v>R099920-490000-3236</v>
      </c>
      <c r="D201" s="35" t="str">
        <f>'[3]1 lentelė'!D203</f>
        <v>Paslaugų ir asmenų aptarnavimo kokybės gerinimas Utenos rajono seniūnijose</v>
      </c>
      <c r="E201" s="35" t="s">
        <v>1399</v>
      </c>
    </row>
  </sheetData>
  <pageMargins left="0.25" right="0.25"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1"/>
  <sheetViews>
    <sheetView zoomScaleNormal="100" workbookViewId="0">
      <pane ySplit="7" topLeftCell="A192" activePane="bottomLeft" state="frozen"/>
      <selection pane="bottomLeft" activeCell="I100" sqref="I100"/>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96" t="s">
        <v>868</v>
      </c>
      <c r="R1" s="96"/>
    </row>
    <row r="2" spans="2:22" ht="15.75" x14ac:dyDescent="0.25">
      <c r="B2" s="6"/>
      <c r="C2" s="6"/>
      <c r="D2" s="6"/>
      <c r="E2" s="6"/>
      <c r="F2" s="6"/>
      <c r="Q2" s="96" t="s">
        <v>1</v>
      </c>
      <c r="R2" s="96"/>
    </row>
    <row r="3" spans="2:22" ht="15.75" x14ac:dyDescent="0.25">
      <c r="B3" s="6"/>
      <c r="C3" s="6"/>
      <c r="D3" s="6"/>
      <c r="E3" s="6"/>
      <c r="F3" s="6"/>
      <c r="Q3" s="96" t="s">
        <v>869</v>
      </c>
      <c r="R3" s="96"/>
      <c r="S3" s="245"/>
    </row>
    <row r="4" spans="2:22" ht="15.75" x14ac:dyDescent="0.25">
      <c r="B4" s="5" t="s">
        <v>870</v>
      </c>
      <c r="C4" s="6"/>
      <c r="D4" s="6"/>
      <c r="E4" s="6"/>
      <c r="F4" s="6"/>
    </row>
    <row r="5" spans="2:22" ht="15.75" customHeight="1" x14ac:dyDescent="0.25">
      <c r="B5" s="9" t="s">
        <v>871</v>
      </c>
      <c r="C5" s="6"/>
      <c r="D5" s="6"/>
      <c r="E5" s="6"/>
      <c r="F5" s="6"/>
    </row>
    <row r="6" spans="2:22" ht="29.25" customHeight="1" x14ac:dyDescent="0.25">
      <c r="B6" s="358" t="s">
        <v>46</v>
      </c>
      <c r="C6" s="360"/>
      <c r="D6" s="360"/>
      <c r="E6" s="360"/>
      <c r="F6" s="360"/>
      <c r="G6" s="361"/>
      <c r="H6" s="362" t="s">
        <v>10</v>
      </c>
      <c r="I6" s="363"/>
      <c r="J6" s="363"/>
      <c r="K6" s="363"/>
      <c r="L6" s="371" t="s">
        <v>872</v>
      </c>
      <c r="M6" s="372"/>
      <c r="N6" s="372"/>
      <c r="O6" s="373"/>
      <c r="P6" s="371" t="s">
        <v>873</v>
      </c>
      <c r="Q6" s="360"/>
      <c r="R6" s="360"/>
      <c r="S6" s="360"/>
      <c r="T6" s="374" t="s">
        <v>874</v>
      </c>
    </row>
    <row r="7" spans="2:22" ht="104.25" customHeight="1" x14ac:dyDescent="0.25">
      <c r="B7" s="376" t="s">
        <v>19</v>
      </c>
      <c r="C7" s="376" t="s">
        <v>27</v>
      </c>
      <c r="D7" s="376" t="s">
        <v>14</v>
      </c>
      <c r="E7" s="376" t="s">
        <v>5</v>
      </c>
      <c r="F7" s="376" t="s">
        <v>875</v>
      </c>
      <c r="G7" s="376" t="s">
        <v>1484</v>
      </c>
      <c r="H7" s="376" t="s">
        <v>42</v>
      </c>
      <c r="I7" s="378" t="s">
        <v>49</v>
      </c>
      <c r="J7" s="378" t="s">
        <v>47</v>
      </c>
      <c r="K7" s="378" t="s">
        <v>35</v>
      </c>
      <c r="L7" s="380" t="s">
        <v>876</v>
      </c>
      <c r="M7" s="376" t="s">
        <v>877</v>
      </c>
      <c r="N7" s="376" t="s">
        <v>47</v>
      </c>
      <c r="O7" s="380" t="s">
        <v>35</v>
      </c>
      <c r="P7" s="380" t="s">
        <v>42</v>
      </c>
      <c r="Q7" s="376" t="s">
        <v>878</v>
      </c>
      <c r="R7" s="376" t="s">
        <v>47</v>
      </c>
      <c r="S7" s="380" t="s">
        <v>879</v>
      </c>
      <c r="T7" s="375"/>
    </row>
    <row r="8" spans="2:22" ht="13.5" customHeight="1" x14ac:dyDescent="0.25">
      <c r="B8" s="377"/>
      <c r="C8" s="377"/>
      <c r="D8" s="377"/>
      <c r="E8" s="377"/>
      <c r="F8" s="377"/>
      <c r="G8" s="377"/>
      <c r="H8" s="377"/>
      <c r="I8" s="379"/>
      <c r="J8" s="379"/>
      <c r="K8" s="379"/>
      <c r="L8" s="381"/>
      <c r="M8" s="377"/>
      <c r="N8" s="377"/>
      <c r="O8" s="381"/>
      <c r="P8" s="381"/>
      <c r="Q8" s="377"/>
      <c r="R8" s="377"/>
      <c r="S8" s="381"/>
      <c r="T8" s="375"/>
    </row>
    <row r="9" spans="2:22" s="6" customFormat="1" ht="67.5" customHeight="1" x14ac:dyDescent="0.25">
      <c r="B9" s="21" t="s">
        <v>0</v>
      </c>
      <c r="C9" s="21"/>
      <c r="D9" s="21" t="s">
        <v>50</v>
      </c>
      <c r="E9" s="21"/>
      <c r="F9" s="21"/>
      <c r="G9" s="21"/>
      <c r="H9" s="21"/>
      <c r="I9" s="21"/>
      <c r="J9" s="21"/>
      <c r="K9" s="21"/>
      <c r="L9" s="87"/>
      <c r="M9" s="87"/>
      <c r="N9" s="87"/>
      <c r="O9" s="87"/>
      <c r="P9" s="87"/>
      <c r="Q9" s="87"/>
      <c r="R9" s="87"/>
      <c r="S9" s="87"/>
      <c r="T9" s="21"/>
    </row>
    <row r="10" spans="2:22" s="6" customFormat="1" ht="204.75" customHeight="1" x14ac:dyDescent="0.25">
      <c r="B10" s="22" t="s">
        <v>51</v>
      </c>
      <c r="C10" s="23"/>
      <c r="D10" s="24" t="s">
        <v>52</v>
      </c>
      <c r="E10" s="23"/>
      <c r="F10" s="23"/>
      <c r="G10" s="22"/>
      <c r="H10" s="22"/>
      <c r="I10" s="23"/>
      <c r="J10" s="22"/>
      <c r="K10" s="22"/>
      <c r="L10" s="88"/>
      <c r="M10" s="88"/>
      <c r="N10" s="88"/>
      <c r="O10" s="88"/>
      <c r="P10" s="88"/>
      <c r="Q10" s="88"/>
      <c r="R10" s="88"/>
      <c r="S10" s="88"/>
      <c r="T10" s="22"/>
    </row>
    <row r="11" spans="2:22" s="6" customFormat="1" ht="116.25" customHeight="1" x14ac:dyDescent="0.25">
      <c r="B11" s="25" t="s">
        <v>53</v>
      </c>
      <c r="C11" s="26"/>
      <c r="D11" s="26" t="s">
        <v>54</v>
      </c>
      <c r="E11" s="26"/>
      <c r="F11" s="25"/>
      <c r="G11" s="26"/>
      <c r="H11" s="356">
        <f>H12+H27+H32+H40+H55+H62+H68+H73+H79+H86+H98+H101+H108+H123+H133+H137+H142+H147+H157+H165+H174+H179+H187+H195+H35</f>
        <v>77807791.030000001</v>
      </c>
      <c r="I11" s="356">
        <f t="shared" ref="I11:S11" si="0">I12+I27+I32+I40+I55+I62+I68+I73+I79+I86+I98+I101+I108+I123+I133+I137+I142+I147+I157+I165+I174+I179+I187+I195+I35</f>
        <v>58210458.049999997</v>
      </c>
      <c r="J11" s="356">
        <f t="shared" si="0"/>
        <v>2154921.4899999998</v>
      </c>
      <c r="K11" s="356">
        <f t="shared" si="0"/>
        <v>17442411.489999998</v>
      </c>
      <c r="L11" s="356">
        <f t="shared" si="0"/>
        <v>66360237.420000002</v>
      </c>
      <c r="M11" s="356">
        <f t="shared" si="0"/>
        <v>49588106.670000002</v>
      </c>
      <c r="N11" s="356">
        <f t="shared" si="0"/>
        <v>2621284.37</v>
      </c>
      <c r="O11" s="356">
        <f t="shared" si="0"/>
        <v>11152935.949999999</v>
      </c>
      <c r="P11" s="356">
        <f t="shared" si="0"/>
        <v>46874473.200000003</v>
      </c>
      <c r="Q11" s="356">
        <f t="shared" si="0"/>
        <v>35749736.8565</v>
      </c>
      <c r="R11" s="356">
        <f t="shared" si="0"/>
        <v>1356165.9934999999</v>
      </c>
      <c r="S11" s="356">
        <f t="shared" si="0"/>
        <v>9768570.3499999996</v>
      </c>
      <c r="T11" s="357"/>
    </row>
    <row r="12" spans="2:22" s="6" customFormat="1" ht="51" customHeight="1" x14ac:dyDescent="0.25">
      <c r="B12" s="27" t="s">
        <v>55</v>
      </c>
      <c r="C12" s="247" t="s">
        <v>63</v>
      </c>
      <c r="D12" s="89" t="s">
        <v>56</v>
      </c>
      <c r="E12" s="27"/>
      <c r="F12" s="27"/>
      <c r="G12" s="27"/>
      <c r="H12" s="278">
        <f>SUM(H13:H26)</f>
        <v>12661458.240000002</v>
      </c>
      <c r="I12" s="278">
        <f>SUM(I13:I26)</f>
        <v>9412452.6700000018</v>
      </c>
      <c r="J12" s="278">
        <f t="shared" ref="J12:S12" si="1">SUM(J13:J26)</f>
        <v>844991.11</v>
      </c>
      <c r="K12" s="278">
        <f t="shared" si="1"/>
        <v>2404014.46</v>
      </c>
      <c r="L12" s="278">
        <f t="shared" si="1"/>
        <v>11287191.930000002</v>
      </c>
      <c r="M12" s="278">
        <f t="shared" si="1"/>
        <v>8243323.6100000003</v>
      </c>
      <c r="N12" s="278">
        <f t="shared" si="1"/>
        <v>741838.6</v>
      </c>
      <c r="O12" s="278">
        <f t="shared" si="1"/>
        <v>2301974.7899999996</v>
      </c>
      <c r="P12" s="278">
        <f t="shared" si="1"/>
        <v>6148188.330000001</v>
      </c>
      <c r="Q12" s="278">
        <f t="shared" si="1"/>
        <v>4650924.92</v>
      </c>
      <c r="R12" s="278">
        <f t="shared" si="1"/>
        <v>425738.04</v>
      </c>
      <c r="S12" s="278">
        <f t="shared" si="1"/>
        <v>1071525.3700000001</v>
      </c>
      <c r="T12" s="35"/>
    </row>
    <row r="13" spans="2:22" s="6" customFormat="1" ht="62.25" customHeight="1" x14ac:dyDescent="0.25">
      <c r="B13" s="15" t="str">
        <f>'1 lentelė'!$B13</f>
        <v>1.1.1.1.1</v>
      </c>
      <c r="C13" s="15" t="str">
        <f>'1 lentelė'!$C13</f>
        <v>R099905-342900-1101</v>
      </c>
      <c r="D13" s="15" t="str">
        <f>'1 lentelė'!$D13</f>
        <v>Anykščių miesto viešųjų erdvių sistemos pertvarkymas (I etapas)</v>
      </c>
      <c r="E13" s="15" t="str">
        <f>'1 lentelė'!$E13</f>
        <v>Anykščių rajono savivaldybės administracija</v>
      </c>
      <c r="F13" s="29" t="s">
        <v>65</v>
      </c>
      <c r="G13" s="29" t="s">
        <v>1090</v>
      </c>
      <c r="H13" s="29">
        <f>'1 lentelė'!$P13</f>
        <v>1774839.96</v>
      </c>
      <c r="I13" s="29">
        <f>'1 lentelė'!$Q13</f>
        <v>1441407.94</v>
      </c>
      <c r="J13" s="29">
        <f>'1 lentelė'!$R13</f>
        <v>127183.06</v>
      </c>
      <c r="K13" s="29">
        <f>'1 lentelė'!$S13</f>
        <v>206248.96000000002</v>
      </c>
      <c r="L13" s="29">
        <v>1774839.96</v>
      </c>
      <c r="M13" s="29">
        <v>1441407.94</v>
      </c>
      <c r="N13" s="29">
        <v>127183.06</v>
      </c>
      <c r="O13" s="29">
        <v>206248.95999999999</v>
      </c>
      <c r="P13" s="249">
        <v>0</v>
      </c>
      <c r="Q13" s="249">
        <v>0</v>
      </c>
      <c r="R13" s="249">
        <v>0</v>
      </c>
      <c r="S13" s="249">
        <v>0</v>
      </c>
      <c r="T13" s="28"/>
      <c r="V13" s="44">
        <f>L13-M13-N13-O13</f>
        <v>0</v>
      </c>
    </row>
    <row r="14" spans="2:22" s="238" customFormat="1" ht="66.75" customHeight="1" x14ac:dyDescent="0.25">
      <c r="B14" s="15" t="str">
        <f>'1 lentelė'!$B14</f>
        <v>1.1.1.1.2</v>
      </c>
      <c r="C14" s="15" t="str">
        <f>'1 lentelė'!$C14</f>
        <v>R099905-280000-1102</v>
      </c>
      <c r="D14" s="15" t="str">
        <f>'1 lentelė'!$D14</f>
        <v xml:space="preserve">Anykščių miesto viešųjų erdvių sistemos pertvarkymas (II etapas) </v>
      </c>
      <c r="E14" s="15" t="str">
        <f>'1 lentelė'!$E14</f>
        <v>Anykščių rajono savivaldybės administracija</v>
      </c>
      <c r="F14" s="32" t="s">
        <v>65</v>
      </c>
      <c r="G14" s="32" t="s">
        <v>1090</v>
      </c>
      <c r="H14" s="32">
        <f>'1 lentelė'!$P14</f>
        <v>1142603.75</v>
      </c>
      <c r="I14" s="32">
        <f>'1 lentelė'!$Q14</f>
        <v>881242</v>
      </c>
      <c r="J14" s="32">
        <f>'1 lentelė'!$R14</f>
        <v>77757</v>
      </c>
      <c r="K14" s="32">
        <f>'1 lentelė'!$S14</f>
        <v>183604.75</v>
      </c>
      <c r="L14" s="32">
        <v>1142603.75</v>
      </c>
      <c r="M14" s="32">
        <v>881242</v>
      </c>
      <c r="N14" s="32">
        <v>77757</v>
      </c>
      <c r="O14" s="32">
        <v>183604.75</v>
      </c>
      <c r="P14" s="97">
        <f>Q14+R14+S14</f>
        <v>1136527.53</v>
      </c>
      <c r="Q14" s="97">
        <v>876555.67</v>
      </c>
      <c r="R14" s="97">
        <v>77343.5</v>
      </c>
      <c r="S14" s="97">
        <v>182628.36</v>
      </c>
      <c r="T14" s="15"/>
      <c r="V14" s="46">
        <f t="shared" ref="V14:V26" si="2">L14-M14-N14-O14</f>
        <v>0</v>
      </c>
    </row>
    <row r="15" spans="2:22" s="238" customFormat="1" ht="78" customHeight="1" x14ac:dyDescent="0.25">
      <c r="B15" s="15" t="str">
        <f>'1 lentelė'!$B15</f>
        <v>1.1.1.1.3</v>
      </c>
      <c r="C15" s="15" t="str">
        <f>'1 lentelė'!$C15</f>
        <v>R099905-320000-1103</v>
      </c>
      <c r="D15" s="15" t="str">
        <f>'1 lentelė'!$D15</f>
        <v xml:space="preserve">Bendruomeninės aktyvaus laisvalaikio infrastruktūros įrengimas Anykščių mieste  </v>
      </c>
      <c r="E15" s="15" t="str">
        <f>'1 lentelė'!$E15</f>
        <v>Anykščių rajono savivaldybės administracija</v>
      </c>
      <c r="F15" s="32" t="s">
        <v>65</v>
      </c>
      <c r="G15" s="32" t="s">
        <v>880</v>
      </c>
      <c r="H15" s="32">
        <f>'1 lentelė'!$P15</f>
        <v>667440.92000000004</v>
      </c>
      <c r="I15" s="32">
        <f>'1 lentelė'!$Q15</f>
        <v>567324.77</v>
      </c>
      <c r="J15" s="32">
        <f>'1 lentelė'!$R15</f>
        <v>50058.07</v>
      </c>
      <c r="K15" s="32">
        <f>'1 lentelė'!$S15</f>
        <v>50058.080000000024</v>
      </c>
      <c r="L15" s="32">
        <v>672604.19000000006</v>
      </c>
      <c r="M15" s="32">
        <v>571713.55000000005</v>
      </c>
      <c r="N15" s="32">
        <v>50445.32</v>
      </c>
      <c r="O15" s="32">
        <v>50445.32</v>
      </c>
      <c r="P15" s="32">
        <v>667440.92000000004</v>
      </c>
      <c r="Q15" s="32">
        <v>567324.77</v>
      </c>
      <c r="R15" s="32">
        <v>50058.07</v>
      </c>
      <c r="S15" s="32">
        <v>50058.080000000002</v>
      </c>
      <c r="T15" s="32" t="s">
        <v>881</v>
      </c>
      <c r="V15" s="46">
        <f t="shared" si="2"/>
        <v>0</v>
      </c>
    </row>
    <row r="16" spans="2:22" s="6" customFormat="1" ht="64.5" customHeight="1" x14ac:dyDescent="0.25">
      <c r="B16" s="15" t="str">
        <f>'1 lentelė'!$B16</f>
        <v xml:space="preserve">1.1.1.1.4   </v>
      </c>
      <c r="C16" s="15" t="str">
        <f>'1 lentelė'!$C16</f>
        <v>R099905-302804-1104</v>
      </c>
      <c r="D16" s="15" t="str">
        <f>'1 lentelė'!$D16</f>
        <v xml:space="preserve">Anykščių miesto viešųjų erdvių sistemos pertvarkymas (III etapas) </v>
      </c>
      <c r="E16" s="15" t="str">
        <f>'1 lentelė'!$E16</f>
        <v xml:space="preserve">Anykščių rajono savivaldybės administracija </v>
      </c>
      <c r="F16" s="29" t="s">
        <v>30</v>
      </c>
      <c r="G16" s="29" t="s">
        <v>66</v>
      </c>
      <c r="H16" s="29">
        <f>'1 lentelė'!$P16</f>
        <v>1426434</v>
      </c>
      <c r="I16" s="29">
        <f>'1 lentelė'!$Q16</f>
        <v>1212468</v>
      </c>
      <c r="J16" s="29">
        <f>'1 lentelė'!$R16</f>
        <v>106983</v>
      </c>
      <c r="K16" s="29">
        <f>'1 lentelė'!$S16</f>
        <v>106983</v>
      </c>
      <c r="L16" s="29">
        <v>0</v>
      </c>
      <c r="M16" s="29">
        <v>0</v>
      </c>
      <c r="N16" s="29">
        <v>0</v>
      </c>
      <c r="O16" s="29">
        <v>0</v>
      </c>
      <c r="P16" s="97">
        <v>0</v>
      </c>
      <c r="Q16" s="97">
        <v>0</v>
      </c>
      <c r="R16" s="97">
        <v>0</v>
      </c>
      <c r="S16" s="97">
        <v>0</v>
      </c>
      <c r="T16" s="15"/>
      <c r="V16" s="44">
        <f t="shared" si="2"/>
        <v>0</v>
      </c>
    </row>
    <row r="17" spans="1:37" s="227" customFormat="1" ht="114.75" customHeight="1" x14ac:dyDescent="0.25">
      <c r="B17" s="15" t="str">
        <f>'1 lentelė'!$B17</f>
        <v>1.1.1.1.5</v>
      </c>
      <c r="C17" s="15" t="str">
        <f>'1 lentelė'!$C17</f>
        <v>R099905-290000-1105</v>
      </c>
      <c r="D17" s="15" t="str">
        <f>'1 lentelė'!$D17</f>
        <v>Molėtų miesto Ąžuolų ir Kreivosios gatvių teritorijų išnaudojimas įrengiant universalią daugiafunkcinę aikštę</v>
      </c>
      <c r="E17" s="15" t="str">
        <f>'1 lentelė'!$E17</f>
        <v>Molėtų rajono savivaldybės administracija</v>
      </c>
      <c r="F17" s="29" t="s">
        <v>65</v>
      </c>
      <c r="G17" s="29" t="s">
        <v>880</v>
      </c>
      <c r="H17" s="29">
        <f>'1 lentelė'!$P17</f>
        <v>985763.28</v>
      </c>
      <c r="I17" s="29">
        <f>'1 lentelė'!$Q17</f>
        <v>492299.07</v>
      </c>
      <c r="J17" s="29">
        <f>'1 lentelė'!$R17</f>
        <v>57917.54</v>
      </c>
      <c r="K17" s="29">
        <f>'1 lentelė'!$S17</f>
        <v>435546.67000000004</v>
      </c>
      <c r="L17" s="29">
        <v>985873.28</v>
      </c>
      <c r="M17" s="29">
        <v>492299.07</v>
      </c>
      <c r="N17" s="29">
        <v>57924</v>
      </c>
      <c r="O17" s="29">
        <v>435595.28</v>
      </c>
      <c r="P17" s="56">
        <f>Q17+R17+S17</f>
        <v>985763.28</v>
      </c>
      <c r="Q17" s="29">
        <v>492299.07</v>
      </c>
      <c r="R17" s="29">
        <v>57917.54</v>
      </c>
      <c r="S17" s="29">
        <v>435546.67</v>
      </c>
      <c r="T17" s="29" t="s">
        <v>1185</v>
      </c>
      <c r="V17" s="44"/>
    </row>
    <row r="18" spans="1:37" s="33" customFormat="1" ht="66" customHeight="1" x14ac:dyDescent="0.25">
      <c r="B18" s="15" t="str">
        <f>'1 lentelė'!$B18</f>
        <v>1.1.1.1.6</v>
      </c>
      <c r="C18" s="15" t="str">
        <f>'1 lentelė'!$C18</f>
        <v>R099905-302900-1106</v>
      </c>
      <c r="D18" s="15" t="str">
        <f>'1 lentelė'!$D18</f>
        <v>Molėtų miesto centrinės dalies kompleksinis sutvarkymas (II etapas)</v>
      </c>
      <c r="E18" s="15" t="str">
        <f>'1 lentelė'!$E18</f>
        <v>Molėtų rajono savivaldybės administracija</v>
      </c>
      <c r="F18" s="32" t="s">
        <v>65</v>
      </c>
      <c r="G18" s="32" t="s">
        <v>1090</v>
      </c>
      <c r="H18" s="32">
        <f>'1 lentelė'!$P18</f>
        <v>342043.32</v>
      </c>
      <c r="I18" s="32">
        <f>'1 lentelė'!$Q18</f>
        <v>239999.57</v>
      </c>
      <c r="J18" s="32">
        <f>'1 lentelė'!$R18</f>
        <v>21176.43</v>
      </c>
      <c r="K18" s="32">
        <f>'1 lentelė'!$S18</f>
        <v>80867.320000000007</v>
      </c>
      <c r="L18" s="346">
        <v>342043.32</v>
      </c>
      <c r="M18" s="346">
        <v>239999.57</v>
      </c>
      <c r="N18" s="346">
        <v>21176.43</v>
      </c>
      <c r="O18" s="346">
        <f>L18-M18-N18</f>
        <v>80867.320000000007</v>
      </c>
      <c r="P18" s="32">
        <f>Q18+R18+S18</f>
        <v>86827.569999999992</v>
      </c>
      <c r="Q18" s="32">
        <v>79132.5</v>
      </c>
      <c r="R18" s="32">
        <v>6982.28</v>
      </c>
      <c r="S18" s="32">
        <v>712.79</v>
      </c>
      <c r="T18" s="345"/>
      <c r="V18" s="46">
        <f t="shared" si="2"/>
        <v>0</v>
      </c>
    </row>
    <row r="19" spans="1:37" s="33" customFormat="1" ht="65.25" customHeight="1" x14ac:dyDescent="0.25">
      <c r="B19" s="15" t="str">
        <f>'1 lentelė'!$B19</f>
        <v>1.1.1.1.7</v>
      </c>
      <c r="C19" s="15" t="str">
        <f>'1 lentelė'!$C19</f>
        <v>R099905-293400-1107</v>
      </c>
      <c r="D19" s="15" t="str">
        <f>'1 lentelė'!$D19</f>
        <v>Prekybos ir paslaugų pasažo įrengimas D. Bukonto gatvėje Zarasų mieste</v>
      </c>
      <c r="E19" s="15" t="str">
        <f>'1 lentelė'!$E19</f>
        <v xml:space="preserve">Zarasų rajono savivaldybės administracija </v>
      </c>
      <c r="F19" s="32" t="s">
        <v>30</v>
      </c>
      <c r="G19" s="56" t="s">
        <v>1090</v>
      </c>
      <c r="H19" s="29">
        <f>'1 lentelė'!$P19</f>
        <v>891263.89</v>
      </c>
      <c r="I19" s="29">
        <f>'1 lentelė'!$Q19</f>
        <v>703501.72</v>
      </c>
      <c r="J19" s="29">
        <f>'1 lentelė'!$R19</f>
        <v>62073.68</v>
      </c>
      <c r="K19" s="29">
        <f>'1 lentelė'!$S19</f>
        <v>125688.49000000005</v>
      </c>
      <c r="L19" s="29">
        <v>891263.89</v>
      </c>
      <c r="M19" s="29">
        <v>703501.72</v>
      </c>
      <c r="N19" s="29">
        <v>62073.68</v>
      </c>
      <c r="O19" s="29">
        <v>125688.49000000005</v>
      </c>
      <c r="P19" s="249">
        <v>0</v>
      </c>
      <c r="Q19" s="249">
        <v>0</v>
      </c>
      <c r="R19" s="249">
        <v>0</v>
      </c>
      <c r="S19" s="249">
        <v>0</v>
      </c>
      <c r="T19" s="28"/>
      <c r="V19" s="44">
        <f t="shared" si="2"/>
        <v>0</v>
      </c>
    </row>
    <row r="20" spans="1:37" s="238" customFormat="1" ht="147" customHeight="1" x14ac:dyDescent="0.25">
      <c r="B20" s="15" t="str">
        <f>'1 lentelė'!$B20</f>
        <v xml:space="preserve">1.1.1.1.8 </v>
      </c>
      <c r="C20" s="15" t="str">
        <f>'1 lentelė'!$C20</f>
        <v>R099905-290000-1108</v>
      </c>
      <c r="D20" s="15" t="str">
        <f>'1 lentelė'!$D20</f>
        <v xml:space="preserve">Zarasų miesto viešųjų erdvių kompleksinis sutvarkymas teritorijoje tarp Dariaus ir Girėno g. bei Šiaulių g. ir dviejuose daugiabučių kiemuose P. Širvio gatvėje </v>
      </c>
      <c r="E20" s="15" t="str">
        <f>'1 lentelė'!$E20</f>
        <v xml:space="preserve">Zarasų rajono savivaldybės administracija </v>
      </c>
      <c r="F20" s="32" t="s">
        <v>65</v>
      </c>
      <c r="G20" s="32" t="s">
        <v>880</v>
      </c>
      <c r="H20" s="32">
        <f>'1 lentelė'!$P20</f>
        <v>608050.61</v>
      </c>
      <c r="I20" s="32">
        <f>'1 lentelė'!$Q20</f>
        <v>502479.08</v>
      </c>
      <c r="J20" s="32">
        <f>'1 lentelė'!$R20</f>
        <v>44336.39</v>
      </c>
      <c r="K20" s="32">
        <f>'1 lentelė'!$S20</f>
        <v>61235.14</v>
      </c>
      <c r="L20" s="32">
        <v>645806.42000000004</v>
      </c>
      <c r="M20" s="32">
        <v>533679.62</v>
      </c>
      <c r="N20" s="32">
        <v>47089.38</v>
      </c>
      <c r="O20" s="32">
        <v>65037.42</v>
      </c>
      <c r="P20" s="32">
        <f>Q20+R20+S20</f>
        <v>579624.49</v>
      </c>
      <c r="Q20" s="32">
        <v>478988.39</v>
      </c>
      <c r="R20" s="32">
        <v>42263.68</v>
      </c>
      <c r="S20" s="32">
        <v>58372.42</v>
      </c>
      <c r="T20" s="32" t="s">
        <v>1489</v>
      </c>
      <c r="V20" s="46">
        <f t="shared" si="2"/>
        <v>0</v>
      </c>
    </row>
    <row r="21" spans="1:37" s="238" customFormat="1" ht="63" customHeight="1" x14ac:dyDescent="0.25">
      <c r="B21" s="15" t="str">
        <f>'1 lentelė'!$B21</f>
        <v>1.1.1.1.9</v>
      </c>
      <c r="C21" s="15" t="str">
        <f>'1 lentelė'!$C21</f>
        <v>R099905-290000-1119</v>
      </c>
      <c r="D21" s="15" t="str">
        <f>'1 lentelė'!$D21</f>
        <v xml:space="preserve">Molėtų miesto centrinės dalies kompleksinis sutvarkymas (I etapas) </v>
      </c>
      <c r="E21" s="15" t="str">
        <f>'1 lentelė'!$E21</f>
        <v>Molėtų rajono savivaldybės administracija</v>
      </c>
      <c r="F21" s="32" t="s">
        <v>65</v>
      </c>
      <c r="G21" s="32" t="s">
        <v>1090</v>
      </c>
      <c r="H21" s="32">
        <f>'1 lentelė'!$P21</f>
        <v>1137262.6599999999</v>
      </c>
      <c r="I21" s="32">
        <f>'1 lentelė'!$Q21</f>
        <v>700000</v>
      </c>
      <c r="J21" s="32">
        <f>'1 lentelė'!$R21</f>
        <v>61765</v>
      </c>
      <c r="K21" s="32">
        <f>'1 lentelė'!$S21</f>
        <v>375497.65999999992</v>
      </c>
      <c r="L21" s="32">
        <v>1137262.6599999999</v>
      </c>
      <c r="M21" s="32">
        <v>700000</v>
      </c>
      <c r="N21" s="32">
        <v>61765</v>
      </c>
      <c r="O21" s="32">
        <v>375497.66</v>
      </c>
      <c r="P21" s="58">
        <f>Q21+R21+S21</f>
        <v>671853.24</v>
      </c>
      <c r="Q21" s="58">
        <v>460562.29</v>
      </c>
      <c r="R21" s="58">
        <v>40638.04</v>
      </c>
      <c r="S21" s="58">
        <v>170652.91</v>
      </c>
      <c r="T21" s="75"/>
      <c r="V21" s="46">
        <f t="shared" si="2"/>
        <v>0</v>
      </c>
    </row>
    <row r="22" spans="1:37" s="238" customFormat="1" ht="55.5" customHeight="1" x14ac:dyDescent="0.25">
      <c r="B22" s="15" t="str">
        <f>'1 lentelė'!$B22</f>
        <v xml:space="preserve">1.1.1.1.10 </v>
      </c>
      <c r="C22" s="15" t="str">
        <f>'1 lentelė'!$C22</f>
        <v>R099905-282900-1110</v>
      </c>
      <c r="D22" s="15" t="str">
        <f>'1 lentelė'!$D22</f>
        <v xml:space="preserve">Viešųjų erdvių Zarasų miesto Didžiojoje saloje sutvarkymas </v>
      </c>
      <c r="E22" s="15" t="str">
        <f>'1 lentelė'!$E22</f>
        <v xml:space="preserve">Zarasų rajono savivaldybės administracija </v>
      </c>
      <c r="F22" s="32" t="s">
        <v>30</v>
      </c>
      <c r="G22" s="32" t="s">
        <v>1090</v>
      </c>
      <c r="H22" s="32">
        <f>'1 lentelė'!$P22</f>
        <v>1365071.92</v>
      </c>
      <c r="I22" s="32">
        <f>'1 lentelė'!$Q22</f>
        <v>865499.4</v>
      </c>
      <c r="J22" s="32">
        <f>'1 lentelė'!$R22</f>
        <v>76367.600000000006</v>
      </c>
      <c r="K22" s="32">
        <f>'1 lentelė'!$S22</f>
        <v>423204.91999999993</v>
      </c>
      <c r="L22" s="32">
        <v>1365071.92</v>
      </c>
      <c r="M22" s="32">
        <v>865499.4</v>
      </c>
      <c r="N22" s="32">
        <v>76367.600000000006</v>
      </c>
      <c r="O22" s="32">
        <v>423204.92</v>
      </c>
      <c r="P22" s="32">
        <f>Q22+R22+S22</f>
        <v>445881.92999999993</v>
      </c>
      <c r="Q22" s="32">
        <v>359541.41</v>
      </c>
      <c r="R22" s="32">
        <v>32606.61</v>
      </c>
      <c r="S22" s="32">
        <v>53733.91</v>
      </c>
      <c r="T22" s="75"/>
      <c r="V22" s="46">
        <f t="shared" si="2"/>
        <v>0</v>
      </c>
    </row>
    <row r="23" spans="1:37" s="33" customFormat="1" ht="89.25" customHeight="1" x14ac:dyDescent="0.25">
      <c r="B23" s="15" t="str">
        <f>'1 lentelė'!$B23</f>
        <v xml:space="preserve">1.1.1.1.11 </v>
      </c>
      <c r="C23" s="15" t="str">
        <f>'1 lentelė'!$C23</f>
        <v>R099905-282900-1111</v>
      </c>
      <c r="D23" s="15" t="str">
        <f>'1 lentelė'!$D23</f>
        <v xml:space="preserve">Viešųjų erdvių prie Zarasaičio ežero sutvarkymas ir aktyvaus poilsio infrastruktūros įrengimas </v>
      </c>
      <c r="E23" s="15" t="str">
        <f>'1 lentelė'!$E23</f>
        <v xml:space="preserve">Zarasų rajono savivaldybės administracija </v>
      </c>
      <c r="F23" s="32" t="s">
        <v>30</v>
      </c>
      <c r="G23" s="29" t="s">
        <v>1090</v>
      </c>
      <c r="H23" s="29">
        <f>'1 lentelė'!$P23</f>
        <v>332642.24</v>
      </c>
      <c r="I23" s="29">
        <f>'1 lentelė'!$Q23</f>
        <v>249671.21</v>
      </c>
      <c r="J23" s="29">
        <f>'1 lentelė'!$R23</f>
        <v>22029.81</v>
      </c>
      <c r="K23" s="29">
        <f>'1 lentelė'!$S23</f>
        <v>60941.22</v>
      </c>
      <c r="L23" s="29">
        <v>332642.24</v>
      </c>
      <c r="M23" s="29">
        <v>249671.21</v>
      </c>
      <c r="N23" s="29">
        <v>22029.81</v>
      </c>
      <c r="O23" s="29">
        <v>60941.22</v>
      </c>
      <c r="P23" s="251">
        <v>0</v>
      </c>
      <c r="Q23" s="251">
        <v>0</v>
      </c>
      <c r="R23" s="251">
        <v>0</v>
      </c>
      <c r="S23" s="251">
        <v>0</v>
      </c>
      <c r="T23" s="54"/>
      <c r="V23" s="44">
        <f t="shared" si="2"/>
        <v>0</v>
      </c>
    </row>
    <row r="24" spans="1:37" s="227" customFormat="1" ht="78.75" customHeight="1" x14ac:dyDescent="0.25">
      <c r="B24" s="15" t="str">
        <f>'1 lentelė'!$B24</f>
        <v>1.1.1.1.12</v>
      </c>
      <c r="C24" s="15" t="str">
        <f>'1 lentelė'!$C24</f>
        <v>R099905-281900-1112</v>
      </c>
      <c r="D24" s="15" t="str">
        <f>'1 lentelė'!$D24</f>
        <v xml:space="preserve">Viešosios aktyvaus laisvalaikio infrastruktūros plėtra Molėtų mieste, II etapas </v>
      </c>
      <c r="E24" s="15" t="str">
        <f>'1 lentelė'!$E24</f>
        <v>Molėtų rajono savivaldybės administracija</v>
      </c>
      <c r="F24" s="32" t="s">
        <v>65</v>
      </c>
      <c r="G24" s="29" t="s">
        <v>880</v>
      </c>
      <c r="H24" s="29">
        <f>'1 lentelė'!$P24</f>
        <v>945911.74</v>
      </c>
      <c r="I24" s="29">
        <f>'1 lentelė'!$Q24</f>
        <v>797703.56</v>
      </c>
      <c r="J24" s="29">
        <f>'1 lentelė'!$R24</f>
        <v>70385.61</v>
      </c>
      <c r="K24" s="29">
        <f>'1 lentelė'!$S24</f>
        <v>77822.569999999934</v>
      </c>
      <c r="L24" s="29">
        <v>948634.58</v>
      </c>
      <c r="M24" s="29">
        <v>799999.78</v>
      </c>
      <c r="N24" s="29">
        <v>70588.22</v>
      </c>
      <c r="O24" s="29">
        <v>78046.58</v>
      </c>
      <c r="P24" s="29">
        <f>Q24+R24+S24</f>
        <v>945911.74</v>
      </c>
      <c r="Q24" s="29">
        <v>797703.56</v>
      </c>
      <c r="R24" s="29">
        <v>70385.61</v>
      </c>
      <c r="S24" s="29">
        <v>77822.570000000007</v>
      </c>
      <c r="T24" s="29" t="s">
        <v>1303</v>
      </c>
      <c r="V24" s="44">
        <f t="shared" si="2"/>
        <v>0</v>
      </c>
    </row>
    <row r="25" spans="1:37" s="238" customFormat="1" ht="86.25" customHeight="1" x14ac:dyDescent="0.25">
      <c r="B25" s="15" t="str">
        <f>'1 lentelė'!$B25</f>
        <v>1.1.1.1.13</v>
      </c>
      <c r="C25" s="15" t="str">
        <f>'1 lentelė'!$C25</f>
        <v>R099905-302900-1113</v>
      </c>
      <c r="D25" s="15" t="str">
        <f>'1 lentelė'!$D25</f>
        <v xml:space="preserve">Molėtų miesto J. Janonio g. gyvenamojo kvartalo viešosios infrastruktūros sutvarkymas </v>
      </c>
      <c r="E25" s="15" t="str">
        <f>'1 lentelė'!$E25</f>
        <v>Molėtų rajono savivaldybės administracija</v>
      </c>
      <c r="F25" s="32" t="s">
        <v>65</v>
      </c>
      <c r="G25" s="32" t="s">
        <v>1090</v>
      </c>
      <c r="H25" s="32">
        <f>'1 lentelė'!$P25</f>
        <v>530184.80000000005</v>
      </c>
      <c r="I25" s="32">
        <f>'1 lentelė'!$Q25</f>
        <v>323702.96999999997</v>
      </c>
      <c r="J25" s="32">
        <f>'1 lentelė'!$R25</f>
        <v>28562.03</v>
      </c>
      <c r="K25" s="32">
        <f>'1 lentelė'!$S25</f>
        <v>177919.80000000008</v>
      </c>
      <c r="L25" s="32">
        <f>M25+N25+O25</f>
        <v>530184.80000000005</v>
      </c>
      <c r="M25" s="32">
        <v>323702.96999999997</v>
      </c>
      <c r="N25" s="32">
        <v>28562.03</v>
      </c>
      <c r="O25" s="32">
        <v>177919.8</v>
      </c>
      <c r="P25" s="32">
        <f>Q25+R25+S25</f>
        <v>116412.48000000001</v>
      </c>
      <c r="Q25" s="32">
        <v>103663.88</v>
      </c>
      <c r="R25" s="32">
        <v>9146.82</v>
      </c>
      <c r="S25" s="32">
        <v>3601.78</v>
      </c>
      <c r="T25" s="75"/>
      <c r="V25" s="46">
        <f t="shared" si="2"/>
        <v>0</v>
      </c>
    </row>
    <row r="26" spans="1:37" s="238" customFormat="1" ht="63.75" customHeight="1" x14ac:dyDescent="0.25">
      <c r="B26" s="15" t="str">
        <f>'1 lentelė'!$B26</f>
        <v xml:space="preserve">1.1.1.1.14 </v>
      </c>
      <c r="C26" s="15" t="str">
        <f>'1 lentelė'!$C26</f>
        <v>R099905-243200-1114</v>
      </c>
      <c r="D26" s="15" t="str">
        <f>'1 lentelė'!$D26</f>
        <v xml:space="preserve">Zarasų Pauliaus Širvio progimnazijos sporto aikštyno įrengimas </v>
      </c>
      <c r="E26" s="15" t="str">
        <f>'1 lentelė'!$E26</f>
        <v xml:space="preserve">Zarasų rajono savivaldybės administracija </v>
      </c>
      <c r="F26" s="32" t="s">
        <v>30</v>
      </c>
      <c r="G26" s="346" t="s">
        <v>880</v>
      </c>
      <c r="H26" s="346">
        <f>'1 lentelė'!$P26</f>
        <v>511945.15</v>
      </c>
      <c r="I26" s="346">
        <f>'1 lentelė'!$Q26</f>
        <v>435153.38</v>
      </c>
      <c r="J26" s="346">
        <f>'1 lentelė'!$R26</f>
        <v>38395.89</v>
      </c>
      <c r="K26" s="346">
        <f>'1 lentelė'!$S26</f>
        <v>38395.879999999997</v>
      </c>
      <c r="L26" s="32">
        <v>518360.92000000004</v>
      </c>
      <c r="M26" s="32">
        <v>440606.78</v>
      </c>
      <c r="N26" s="32">
        <v>38877.07</v>
      </c>
      <c r="O26" s="32">
        <v>38877.07</v>
      </c>
      <c r="P26" s="32">
        <f>Q26+R26+S26</f>
        <v>511945.15</v>
      </c>
      <c r="Q26" s="32">
        <v>435153.38</v>
      </c>
      <c r="R26" s="32">
        <v>38395.89</v>
      </c>
      <c r="S26" s="32">
        <v>38395.879999999997</v>
      </c>
      <c r="T26" s="32" t="s">
        <v>1462</v>
      </c>
      <c r="V26" s="46">
        <f t="shared" si="2"/>
        <v>0</v>
      </c>
    </row>
    <row r="27" spans="1:37" s="6" customFormat="1" ht="83.25" customHeight="1" x14ac:dyDescent="0.25">
      <c r="B27" s="50" t="str">
        <f>'1 lentelė'!$B27</f>
        <v>1.1.1.2</v>
      </c>
      <c r="C27" s="248" t="s">
        <v>1179</v>
      </c>
      <c r="D27" s="90" t="str">
        <f>'1 lentelė'!$D27</f>
        <v>Priemonė: Pereinamojo laikotarpio tikslinių teritorijų vystymas</v>
      </c>
      <c r="E27" s="50"/>
      <c r="F27" s="50"/>
      <c r="G27" s="50"/>
      <c r="H27" s="279">
        <f>SUM(H28:H30)</f>
        <v>4344260.17</v>
      </c>
      <c r="I27" s="279">
        <f t="shared" ref="I27:S27" si="3">SUM(I28:I30)</f>
        <v>3441264.61</v>
      </c>
      <c r="J27" s="279">
        <f t="shared" si="3"/>
        <v>303639.94</v>
      </c>
      <c r="K27" s="279">
        <f t="shared" si="3"/>
        <v>599355.61999999988</v>
      </c>
      <c r="L27" s="279">
        <f t="shared" si="3"/>
        <v>4344260.0999999996</v>
      </c>
      <c r="M27" s="279">
        <f t="shared" si="3"/>
        <v>3441264.63</v>
      </c>
      <c r="N27" s="279">
        <f t="shared" si="3"/>
        <v>303639.82</v>
      </c>
      <c r="O27" s="279">
        <f t="shared" si="3"/>
        <v>599355.65</v>
      </c>
      <c r="P27" s="279">
        <f t="shared" si="3"/>
        <v>3878897.9699999997</v>
      </c>
      <c r="Q27" s="279">
        <f t="shared" si="3"/>
        <v>3127727.69</v>
      </c>
      <c r="R27" s="279">
        <f t="shared" si="3"/>
        <v>276021.83999999997</v>
      </c>
      <c r="S27" s="279">
        <f t="shared" si="3"/>
        <v>475148.44000000006</v>
      </c>
      <c r="T27" s="35"/>
      <c r="U27" s="238"/>
      <c r="V27" s="46">
        <f t="shared" ref="V27:V29" si="4">L27-M27-N27-O27</f>
        <v>0</v>
      </c>
      <c r="W27" s="238"/>
      <c r="X27" s="46"/>
      <c r="Y27" s="46"/>
      <c r="Z27" s="46"/>
      <c r="AA27" s="46"/>
      <c r="AB27" s="46"/>
      <c r="AC27" s="46"/>
      <c r="AD27" s="46"/>
      <c r="AE27" s="46"/>
      <c r="AF27" s="46"/>
      <c r="AG27" s="46"/>
      <c r="AH27" s="46"/>
      <c r="AI27" s="46"/>
      <c r="AJ27" s="46"/>
      <c r="AK27" s="46"/>
    </row>
    <row r="28" spans="1:37" s="239" customFormat="1" ht="66.75" customHeight="1" x14ac:dyDescent="0.25">
      <c r="A28" s="243"/>
      <c r="B28" s="15" t="str">
        <f>'1 lentelė'!$B28</f>
        <v>1.1.1.2.1</v>
      </c>
      <c r="C28" s="223" t="str">
        <f>'1 lentelė'!$C28</f>
        <v>R099903-300000-1115</v>
      </c>
      <c r="D28" s="223" t="str">
        <f>'1 lentelė'!$D28</f>
        <v xml:space="preserve">Daugiabučių namų kvartalų Ignalinos mieste kompleksinis sutvarkymas </v>
      </c>
      <c r="E28" s="223" t="str">
        <f>'1 lentelė'!$E28</f>
        <v>Ignalinos rajono savivaldybės administracija</v>
      </c>
      <c r="F28" s="216" t="s">
        <v>65</v>
      </c>
      <c r="G28" s="216" t="s">
        <v>880</v>
      </c>
      <c r="H28" s="216">
        <f>'1 lentelė'!$P28</f>
        <v>280999.21000000002</v>
      </c>
      <c r="I28" s="216">
        <f>'1 lentelė'!$Q28</f>
        <v>238849.32</v>
      </c>
      <c r="J28" s="216">
        <f>'1 lentelė'!$R28</f>
        <v>21074.94</v>
      </c>
      <c r="K28" s="216">
        <f>'1 lentelė'!$S28</f>
        <v>21074.950000000015</v>
      </c>
      <c r="L28" s="216">
        <v>280999.21000000002</v>
      </c>
      <c r="M28" s="216">
        <v>238849.32</v>
      </c>
      <c r="N28" s="216">
        <v>21074.94</v>
      </c>
      <c r="O28" s="216">
        <v>21074.95</v>
      </c>
      <c r="P28" s="216">
        <v>280999.21000000002</v>
      </c>
      <c r="Q28" s="216">
        <v>238849.32</v>
      </c>
      <c r="R28" s="216">
        <v>21074.94</v>
      </c>
      <c r="S28" s="216">
        <v>21074.95</v>
      </c>
      <c r="T28" s="216" t="s">
        <v>882</v>
      </c>
      <c r="U28" s="238"/>
      <c r="V28" s="46">
        <f t="shared" si="4"/>
        <v>0</v>
      </c>
      <c r="W28" s="238"/>
      <c r="X28" s="46"/>
      <c r="Y28" s="46"/>
      <c r="Z28" s="46"/>
      <c r="AA28" s="46"/>
      <c r="AB28" s="46"/>
      <c r="AC28" s="46"/>
      <c r="AD28" s="46"/>
      <c r="AE28" s="46"/>
      <c r="AF28" s="46"/>
      <c r="AG28" s="46"/>
      <c r="AH28" s="46"/>
      <c r="AI28" s="46"/>
      <c r="AJ28" s="46"/>
      <c r="AK28" s="46"/>
    </row>
    <row r="29" spans="1:37" s="6" customFormat="1" ht="103.5" customHeight="1" x14ac:dyDescent="0.25">
      <c r="B29" s="15" t="str">
        <f>'1 lentelė'!$B29</f>
        <v>1.1.1.2.2</v>
      </c>
      <c r="C29" s="15" t="str">
        <f>'1 lentelė'!$C29</f>
        <v>R099902-310000-1116</v>
      </c>
      <c r="D29" s="15" t="str">
        <f>'1 lentelė'!$D29</f>
        <v xml:space="preserve">Apleistų/avarinių pastatų nugriovimas ir teritorijos valymas, regeneruojant buvusį karinį miestelį </v>
      </c>
      <c r="E29" s="15" t="str">
        <f>'1 lentelė'!$E29</f>
        <v>Visagino savivaldybės administracija</v>
      </c>
      <c r="F29" s="29" t="s">
        <v>65</v>
      </c>
      <c r="G29" s="29" t="s">
        <v>1090</v>
      </c>
      <c r="H29" s="29">
        <f>'1 lentelė'!$P29</f>
        <v>2967711.31</v>
      </c>
      <c r="I29" s="29">
        <f>'1 lentelė'!$Q29</f>
        <v>2333555.31</v>
      </c>
      <c r="J29" s="29">
        <f>'1 lentelė'!$R29</f>
        <v>205901</v>
      </c>
      <c r="K29" s="29">
        <f>'1 lentelė'!$S29</f>
        <v>428255</v>
      </c>
      <c r="L29" s="29">
        <v>2967711.21</v>
      </c>
      <c r="M29" s="29">
        <v>2333555.31</v>
      </c>
      <c r="N29" s="29">
        <v>205900.88</v>
      </c>
      <c r="O29" s="29">
        <v>428255.02</v>
      </c>
      <c r="P29" s="216">
        <f>Q29+R29+S29</f>
        <v>2502349.11</v>
      </c>
      <c r="Q29" s="216">
        <v>2020018.39</v>
      </c>
      <c r="R29" s="216">
        <v>178282.9</v>
      </c>
      <c r="S29" s="216">
        <v>304047.82</v>
      </c>
      <c r="T29" s="216"/>
      <c r="U29" s="238"/>
      <c r="V29" s="46">
        <f t="shared" si="4"/>
        <v>0</v>
      </c>
      <c r="W29" s="238"/>
      <c r="X29" s="46"/>
      <c r="Y29" s="46"/>
      <c r="Z29" s="46"/>
      <c r="AA29" s="46"/>
      <c r="AB29" s="46"/>
      <c r="AC29" s="46"/>
      <c r="AD29" s="46"/>
      <c r="AE29" s="46"/>
      <c r="AF29" s="46"/>
      <c r="AG29" s="46"/>
      <c r="AH29" s="46"/>
      <c r="AI29" s="46"/>
      <c r="AJ29" s="46"/>
      <c r="AK29" s="46"/>
    </row>
    <row r="30" spans="1:37" s="6" customFormat="1" ht="63.75" customHeight="1" x14ac:dyDescent="0.25">
      <c r="B30" s="15" t="str">
        <f>'1 lentelė'!$B30</f>
        <v>1.1.1.2.3</v>
      </c>
      <c r="C30" s="15" t="str">
        <f>'1 lentelė'!$C30</f>
        <v>R099902-300000-1117</v>
      </c>
      <c r="D30" s="15" t="str">
        <f>'1 lentelė'!$D30</f>
        <v xml:space="preserve">Dauniškio daugiabučių namų kvartalo teritorijos sutvarkymas </v>
      </c>
      <c r="E30" s="15" t="str">
        <f>'1 lentelė'!$E30</f>
        <v>Utenos rajono savivaldybės administracija</v>
      </c>
      <c r="F30" s="29" t="s">
        <v>65</v>
      </c>
      <c r="G30" s="29" t="s">
        <v>880</v>
      </c>
      <c r="H30" s="29">
        <f>'1 lentelė'!$P30</f>
        <v>1095549.6499999999</v>
      </c>
      <c r="I30" s="29">
        <f>'1 lentelė'!$Q30</f>
        <v>868859.98</v>
      </c>
      <c r="J30" s="29">
        <f>'1 lentelė'!$R30</f>
        <v>76664</v>
      </c>
      <c r="K30" s="29">
        <f>'1 lentelė'!$S30</f>
        <v>150025.66999999993</v>
      </c>
      <c r="L30" s="29">
        <v>1095549.68</v>
      </c>
      <c r="M30" s="29">
        <v>868860</v>
      </c>
      <c r="N30" s="29">
        <v>76664</v>
      </c>
      <c r="O30" s="29">
        <v>150025.68</v>
      </c>
      <c r="P30" s="29">
        <v>1095549.6499999999</v>
      </c>
      <c r="Q30" s="29">
        <v>868859.98</v>
      </c>
      <c r="R30" s="29">
        <v>76664</v>
      </c>
      <c r="S30" s="29">
        <v>150025.67000000001</v>
      </c>
      <c r="T30" s="29" t="s">
        <v>883</v>
      </c>
      <c r="V30" s="189"/>
    </row>
    <row r="31" spans="1:37" s="6" customFormat="1" ht="199.5" customHeight="1" x14ac:dyDescent="0.25">
      <c r="B31" s="48" t="str">
        <f>'1 lentelė'!$B31</f>
        <v xml:space="preserve">1.1.2 </v>
      </c>
      <c r="C31" s="48"/>
      <c r="D31" s="48" t="str">
        <f>'1 lentelė'!$D31</f>
        <v>Uždavinys: Kompleksiškai atnaujinti 1-6 tūkst. gyventojų turinčių miestų (išskyrus savivaldybių centrus), miestelių ir kaimų bendruomeninę ir viešąją infrastruktūrą</v>
      </c>
      <c r="E31" s="48"/>
      <c r="F31" s="48"/>
      <c r="G31" s="48"/>
      <c r="H31" s="48"/>
      <c r="I31" s="48"/>
      <c r="J31" s="48"/>
      <c r="K31" s="48"/>
      <c r="L31" s="49"/>
      <c r="M31" s="49"/>
      <c r="N31" s="49"/>
      <c r="O31" s="49"/>
      <c r="P31" s="49"/>
      <c r="Q31" s="49"/>
      <c r="R31" s="49"/>
      <c r="S31" s="49"/>
      <c r="T31" s="25"/>
    </row>
    <row r="32" spans="1:37" s="6" customFormat="1" ht="69" customHeight="1" x14ac:dyDescent="0.25">
      <c r="B32" s="50" t="str">
        <f>'1 lentelė'!$B32</f>
        <v>1.1.2.1</v>
      </c>
      <c r="C32" s="248" t="s">
        <v>163</v>
      </c>
      <c r="D32" s="90" t="str">
        <f>'1 lentelė'!$D32</f>
        <v>Priemonė: Kaimo gyvenamųjų vietovių atnaujinimas</v>
      </c>
      <c r="E32" s="50"/>
      <c r="F32" s="50"/>
      <c r="G32" s="50"/>
      <c r="H32" s="279">
        <f>SUM(H33)</f>
        <v>895999.62</v>
      </c>
      <c r="I32" s="279">
        <f t="shared" ref="I32:S32" si="5">SUM(I33)</f>
        <v>761599.68</v>
      </c>
      <c r="J32" s="279">
        <f t="shared" si="5"/>
        <v>89599.96</v>
      </c>
      <c r="K32" s="279">
        <f t="shared" si="5"/>
        <v>44799.979999999938</v>
      </c>
      <c r="L32" s="279">
        <f t="shared" si="5"/>
        <v>904720</v>
      </c>
      <c r="M32" s="279">
        <f t="shared" si="5"/>
        <v>769012</v>
      </c>
      <c r="N32" s="279">
        <f t="shared" si="5"/>
        <v>90472</v>
      </c>
      <c r="O32" s="279">
        <f t="shared" si="5"/>
        <v>45236</v>
      </c>
      <c r="P32" s="279">
        <f t="shared" si="5"/>
        <v>895999.62</v>
      </c>
      <c r="Q32" s="279">
        <f t="shared" si="5"/>
        <v>761599.68</v>
      </c>
      <c r="R32" s="279">
        <f t="shared" si="5"/>
        <v>89599.96</v>
      </c>
      <c r="S32" s="279">
        <f t="shared" si="5"/>
        <v>44799.98</v>
      </c>
      <c r="T32" s="35"/>
    </row>
    <row r="33" spans="2:26" s="239" customFormat="1" ht="117.75" customHeight="1" x14ac:dyDescent="0.25">
      <c r="B33" s="15" t="str">
        <f>'1 lentelė'!$B33</f>
        <v>1.1.2.1.1</v>
      </c>
      <c r="C33" s="223" t="str">
        <f>'1 lentelė'!$C33</f>
        <v xml:space="preserve"> R099908-293300-1118</v>
      </c>
      <c r="D33" s="223" t="str">
        <f>'1 lentelė'!$D33</f>
        <v>Didžiasalio kaimo viešųjų erdvių atnaujinimas ir pastato dalies patalpų pritaikymas bendruomenės poreikiams</v>
      </c>
      <c r="E33" s="223" t="str">
        <f>'1 lentelė'!$E33</f>
        <v>Ignalinos rajono savivaldybės administracija</v>
      </c>
      <c r="F33" s="216" t="s">
        <v>87</v>
      </c>
      <c r="G33" s="216" t="s">
        <v>880</v>
      </c>
      <c r="H33" s="216">
        <f>'1 lentelė'!$P33</f>
        <v>895999.62</v>
      </c>
      <c r="I33" s="216">
        <f>'1 lentelė'!$Q33</f>
        <v>761599.68</v>
      </c>
      <c r="J33" s="216">
        <f>'1 lentelė'!$R33</f>
        <v>89599.96</v>
      </c>
      <c r="K33" s="216">
        <f>'1 lentelė'!$S33</f>
        <v>44799.979999999938</v>
      </c>
      <c r="L33" s="216">
        <v>904720</v>
      </c>
      <c r="M33" s="216">
        <v>769012</v>
      </c>
      <c r="N33" s="216">
        <v>90472</v>
      </c>
      <c r="O33" s="216">
        <v>45236</v>
      </c>
      <c r="P33" s="216">
        <v>895999.62</v>
      </c>
      <c r="Q33" s="216">
        <v>761599.68</v>
      </c>
      <c r="R33" s="216">
        <v>89599.96</v>
      </c>
      <c r="S33" s="216">
        <v>44799.98</v>
      </c>
      <c r="T33" s="216" t="s">
        <v>884</v>
      </c>
    </row>
    <row r="34" spans="2:26" s="6" customFormat="1" ht="222.75" customHeight="1" x14ac:dyDescent="0.25">
      <c r="B34" s="48" t="str">
        <f>'1 lentelė'!$B34</f>
        <v xml:space="preserve">1.1.3 </v>
      </c>
      <c r="C34" s="48"/>
      <c r="D34" s="48" t="str">
        <f>'1 lentelė'!$D34</f>
        <v>Uždavinys: Kompleksiškai atnaujinti mažiau kaip 1 tūkst. gyventojų turinčių miestų, miestelių ir kaimų (iki 1 tūkst. gyv.) viešąją infrastruktūrą (taikant kaimo plėtros politikos priemones)</v>
      </c>
      <c r="E34" s="48"/>
      <c r="F34" s="48"/>
      <c r="G34" s="48"/>
      <c r="H34" s="48"/>
      <c r="I34" s="48"/>
      <c r="J34" s="48"/>
      <c r="K34" s="48"/>
      <c r="L34" s="48"/>
      <c r="M34" s="48"/>
      <c r="N34" s="48"/>
      <c r="O34" s="48"/>
      <c r="P34" s="48"/>
      <c r="Q34" s="48"/>
      <c r="R34" s="48"/>
      <c r="S34" s="48"/>
      <c r="T34" s="26"/>
    </row>
    <row r="35" spans="2:26" s="6" customFormat="1" ht="125.25" customHeight="1" x14ac:dyDescent="0.25">
      <c r="B35" s="50" t="str">
        <f>'1 lentelė'!$B35</f>
        <v xml:space="preserve">1.1.3.1 </v>
      </c>
      <c r="C35" s="50"/>
      <c r="D35" s="90" t="str">
        <f>'1 lentelė'!$D35</f>
        <v>Priemonė (KPP veiklos sritis): Parama investicijoms į visų rūšių mažos apimties infrastruktūrą</v>
      </c>
      <c r="E35" s="50"/>
      <c r="F35" s="50"/>
      <c r="G35" s="50"/>
      <c r="H35" s="354">
        <f>H36</f>
        <v>5691099.9299999997</v>
      </c>
      <c r="I35" s="354">
        <f t="shared" ref="I35:S35" si="6">I36</f>
        <v>4137156.88</v>
      </c>
      <c r="J35" s="354">
        <f t="shared" si="6"/>
        <v>0</v>
      </c>
      <c r="K35" s="354">
        <f t="shared" si="6"/>
        <v>1553943.0499999998</v>
      </c>
      <c r="L35" s="354">
        <f t="shared" si="6"/>
        <v>3980489</v>
      </c>
      <c r="M35" s="354">
        <f t="shared" si="6"/>
        <v>3383415.65</v>
      </c>
      <c r="N35" s="354">
        <f t="shared" si="6"/>
        <v>597073.35000000009</v>
      </c>
      <c r="O35" s="354">
        <f t="shared" si="6"/>
        <v>0</v>
      </c>
      <c r="P35" s="354">
        <f t="shared" si="6"/>
        <v>2714053.89</v>
      </c>
      <c r="Q35" s="354">
        <f t="shared" si="6"/>
        <v>2306945.8064999999</v>
      </c>
      <c r="R35" s="354">
        <f t="shared" si="6"/>
        <v>407108.08350000018</v>
      </c>
      <c r="S35" s="354">
        <f t="shared" si="6"/>
        <v>0</v>
      </c>
      <c r="T35" s="354"/>
    </row>
    <row r="36" spans="2:26" s="6" customFormat="1" ht="81.75" customHeight="1" x14ac:dyDescent="0.25">
      <c r="B36" s="32" t="str">
        <f>'1 lentelė'!B36</f>
        <v>1.1.3.1.-1.1.3.28</v>
      </c>
      <c r="C36" s="32"/>
      <c r="D36" s="346" t="str">
        <f>'1 lentelė'!D36</f>
        <v>Pagrindinės paslaugos ir kaimų atnaujinimas kaimo vietovėse</v>
      </c>
      <c r="E36" s="346" t="str">
        <f>'1 lentelė'!E36</f>
        <v>Utenos apskrities savivaldybių administracijos</v>
      </c>
      <c r="F36" s="32" t="str">
        <f>'1 lentelė'!J36</f>
        <v>-</v>
      </c>
      <c r="G36" s="32" t="s">
        <v>1485</v>
      </c>
      <c r="H36" s="32">
        <f>'1 lentelė'!P36</f>
        <v>5691099.9299999997</v>
      </c>
      <c r="I36" s="32">
        <f>'1 lentelė'!Q36</f>
        <v>4137156.88</v>
      </c>
      <c r="J36" s="32">
        <f>'1 lentelė'!R36</f>
        <v>0</v>
      </c>
      <c r="K36" s="32">
        <f>'1 lentelė'!S36</f>
        <v>1553943.0499999998</v>
      </c>
      <c r="L36" s="32">
        <v>3980489</v>
      </c>
      <c r="M36" s="32">
        <v>3383415.65</v>
      </c>
      <c r="N36" s="32">
        <f>L36-M36</f>
        <v>597073.35000000009</v>
      </c>
      <c r="O36" s="32">
        <f>L36-M36-N36</f>
        <v>0</v>
      </c>
      <c r="P36" s="32">
        <v>2714053.89</v>
      </c>
      <c r="Q36" s="53">
        <f>P36*0.85</f>
        <v>2306945.8064999999</v>
      </c>
      <c r="R36" s="53">
        <f>P36-Q36</f>
        <v>407108.08350000018</v>
      </c>
      <c r="S36" s="86">
        <f>P36-Q36-R36</f>
        <v>0</v>
      </c>
      <c r="T36" s="35"/>
    </row>
    <row r="37" spans="2:26" s="6" customFormat="1" ht="142.5" customHeight="1" x14ac:dyDescent="0.25">
      <c r="B37" s="50" t="str">
        <f>'1 lentelė'!$B37</f>
        <v>1.1.3.2</v>
      </c>
      <c r="C37" s="50"/>
      <c r="D37" s="90" t="str">
        <f>'1 lentelė'!$D37</f>
        <v>Priemonė (KPP veiklos sritis): Parama investicijoms į kaimo kultūros ir gamtos paveldą, kraštovaizdį</v>
      </c>
      <c r="E37" s="50"/>
      <c r="F37" s="50"/>
      <c r="G37" s="50"/>
      <c r="H37" s="50"/>
      <c r="I37" s="50"/>
      <c r="J37" s="50"/>
      <c r="K37" s="50"/>
      <c r="L37" s="50"/>
      <c r="M37" s="50"/>
      <c r="N37" s="50"/>
      <c r="O37" s="50"/>
      <c r="P37" s="50"/>
      <c r="Q37" s="50"/>
      <c r="R37" s="50"/>
      <c r="S37" s="50"/>
      <c r="T37" s="27"/>
    </row>
    <row r="38" spans="2:26" s="6" customFormat="1" ht="104.25" customHeight="1" x14ac:dyDescent="0.25">
      <c r="B38" s="51" t="str">
        <f>'1 lentelė'!$B38</f>
        <v xml:space="preserve">1.2 </v>
      </c>
      <c r="C38" s="51"/>
      <c r="D38" s="51" t="str">
        <f>'1 lentelė'!$D38</f>
        <v>Tikslas: Modernios regiono transporto infrastruktūros ir darnaus judumo plėtojimas</v>
      </c>
      <c r="E38" s="51"/>
      <c r="F38" s="51"/>
      <c r="G38" s="51"/>
      <c r="H38" s="51"/>
      <c r="I38" s="51"/>
      <c r="J38" s="51"/>
      <c r="K38" s="51"/>
      <c r="L38" s="51"/>
      <c r="M38" s="51"/>
      <c r="N38" s="51"/>
      <c r="O38" s="51"/>
      <c r="P38" s="51"/>
      <c r="Q38" s="51"/>
      <c r="R38" s="51"/>
      <c r="S38" s="51"/>
      <c r="T38" s="24"/>
    </row>
    <row r="39" spans="2:26" s="6" customFormat="1" ht="81.75" customHeight="1" x14ac:dyDescent="0.25">
      <c r="B39" s="48" t="str">
        <f>'1 lentelė'!$B39</f>
        <v xml:space="preserve">1.2.1 </v>
      </c>
      <c r="C39" s="48"/>
      <c r="D39" s="48" t="str">
        <f>'1 lentelė'!$D39</f>
        <v>Uždavinys: Kompleksiškai modernizuoti kelių transporto infrastruktūrą</v>
      </c>
      <c r="E39" s="48"/>
      <c r="F39" s="48"/>
      <c r="G39" s="48"/>
      <c r="H39" s="48"/>
      <c r="I39" s="48"/>
      <c r="J39" s="48"/>
      <c r="K39" s="48"/>
      <c r="L39" s="48"/>
      <c r="M39" s="48"/>
      <c r="N39" s="48"/>
      <c r="O39" s="48"/>
      <c r="P39" s="48"/>
      <c r="Q39" s="48"/>
      <c r="R39" s="48"/>
      <c r="S39" s="48"/>
      <c r="T39" s="26"/>
    </row>
    <row r="40" spans="2:26" s="6" customFormat="1" ht="43.5" customHeight="1" x14ac:dyDescent="0.25">
      <c r="B40" s="50" t="str">
        <f>'1 lentelė'!$B40</f>
        <v>1.2.1.1</v>
      </c>
      <c r="C40" s="248" t="s">
        <v>181</v>
      </c>
      <c r="D40" s="90" t="str">
        <f>'1 lentelė'!$D40</f>
        <v>Priemonė:Vietinių kelių vystymas</v>
      </c>
      <c r="E40" s="50"/>
      <c r="F40" s="50"/>
      <c r="G40" s="50"/>
      <c r="H40" s="279">
        <f>SUM(H41:H53)</f>
        <v>5457345.5100000007</v>
      </c>
      <c r="I40" s="279">
        <f>SUM(I41:I53)</f>
        <v>3988783.2</v>
      </c>
      <c r="J40" s="279">
        <f>SUM(J41:J53)</f>
        <v>0</v>
      </c>
      <c r="K40" s="279">
        <f>SUM(K41:K53)</f>
        <v>1468562.3099999998</v>
      </c>
      <c r="L40" s="279">
        <f>SUM(L41:L53)</f>
        <v>4216190.96</v>
      </c>
      <c r="M40" s="279">
        <f t="shared" ref="M40:S40" si="7">SUM(M41:M53)</f>
        <v>3005302.71</v>
      </c>
      <c r="N40" s="279">
        <f t="shared" si="7"/>
        <v>0</v>
      </c>
      <c r="O40" s="279">
        <f t="shared" si="7"/>
        <v>1131530.5</v>
      </c>
      <c r="P40" s="279">
        <f t="shared" si="7"/>
        <v>3779497.4699999997</v>
      </c>
      <c r="Q40" s="279">
        <f t="shared" si="7"/>
        <v>2706460.9899999998</v>
      </c>
      <c r="R40" s="279">
        <f t="shared" si="7"/>
        <v>0</v>
      </c>
      <c r="S40" s="279">
        <f t="shared" si="7"/>
        <v>1073036.48</v>
      </c>
      <c r="T40" s="35"/>
    </row>
    <row r="41" spans="2:26" s="238" customFormat="1" ht="90" customHeight="1" x14ac:dyDescent="0.25">
      <c r="B41" s="15" t="str">
        <f>'1 lentelė'!$B41</f>
        <v>1.2.1.1.1</v>
      </c>
      <c r="C41" s="15" t="str">
        <f>'1 lentelė'!$C41</f>
        <v>R095511-110000-1201</v>
      </c>
      <c r="D41" s="15" t="str">
        <f>'1 lentelė'!$D41</f>
        <v>Gatvės Ignalinos miesto rekreacinėje zonoje tarp Gavio ežero ir Turistų gatvės įrengimas</v>
      </c>
      <c r="E41" s="15" t="str">
        <f>'1 lentelė'!$E41</f>
        <v>Ignalinos rajono savivaldybės administracija</v>
      </c>
      <c r="F41" s="35" t="s">
        <v>65</v>
      </c>
      <c r="G41" s="35" t="s">
        <v>1090</v>
      </c>
      <c r="H41" s="32">
        <f>'1 lentelė'!$P41</f>
        <v>338553.02</v>
      </c>
      <c r="I41" s="32">
        <f>'1 lentelė'!$Q41</f>
        <v>287770.06</v>
      </c>
      <c r="J41" s="32">
        <f>'1 lentelė'!$R41</f>
        <v>0</v>
      </c>
      <c r="K41" s="32">
        <f>'1 lentelė'!$S41</f>
        <v>50782.960000000021</v>
      </c>
      <c r="L41" s="53">
        <v>338553.02</v>
      </c>
      <c r="M41" s="53">
        <v>287770.06</v>
      </c>
      <c r="N41" s="86">
        <v>0</v>
      </c>
      <c r="O41" s="53">
        <v>50782.96</v>
      </c>
      <c r="P41" s="53">
        <v>315268.95</v>
      </c>
      <c r="Q41" s="53">
        <v>267978.59999999998</v>
      </c>
      <c r="R41" s="53">
        <v>0</v>
      </c>
      <c r="S41" s="53">
        <f>P41-Q41</f>
        <v>47290.350000000035</v>
      </c>
      <c r="T41" s="53"/>
      <c r="W41" s="240"/>
      <c r="X41" s="241"/>
      <c r="Y41" s="241"/>
      <c r="Z41" s="242"/>
    </row>
    <row r="42" spans="2:26" s="6" customFormat="1" ht="42.75" customHeight="1" x14ac:dyDescent="0.25">
      <c r="B42" s="15" t="str">
        <f>'1 lentelė'!$B42</f>
        <v xml:space="preserve">1.2.1.1.2 </v>
      </c>
      <c r="C42" s="15" t="str">
        <f>'1 lentelė'!$C42</f>
        <v>R095511-120000-1202</v>
      </c>
      <c r="D42" s="15" t="str">
        <f>'1 lentelė'!$D42</f>
        <v>Zarasų gatvės rekonstrukcija Zarasų mieste</v>
      </c>
      <c r="E42" s="15" t="str">
        <f>'1 lentelė'!$E42</f>
        <v>Zarasų rajono savivaldybės administracija</v>
      </c>
      <c r="F42" s="35" t="s">
        <v>65</v>
      </c>
      <c r="G42" s="37" t="s">
        <v>1090</v>
      </c>
      <c r="H42" s="29">
        <f>'1 lentelė'!$P42</f>
        <v>194771.6</v>
      </c>
      <c r="I42" s="29">
        <f>'1 lentelė'!$Q42</f>
        <v>127500</v>
      </c>
      <c r="J42" s="29">
        <f>'1 lentelė'!$R42</f>
        <v>0</v>
      </c>
      <c r="K42" s="29">
        <f>'1 lentelė'!$S42</f>
        <v>67271.600000000006</v>
      </c>
      <c r="L42" s="55">
        <v>194771.6</v>
      </c>
      <c r="M42" s="55">
        <v>127500</v>
      </c>
      <c r="N42" s="252">
        <v>0</v>
      </c>
      <c r="O42" s="55">
        <f>L42-M42</f>
        <v>67271.600000000006</v>
      </c>
      <c r="P42" s="55">
        <v>194771.6</v>
      </c>
      <c r="Q42" s="55">
        <v>127500</v>
      </c>
      <c r="R42" s="55">
        <v>0</v>
      </c>
      <c r="S42" s="55">
        <f>P42-Q42</f>
        <v>67271.600000000006</v>
      </c>
      <c r="T42" s="54"/>
      <c r="W42" s="100"/>
      <c r="X42" s="101"/>
      <c r="Y42" s="101"/>
      <c r="Z42" s="47"/>
    </row>
    <row r="43" spans="2:26" s="238" customFormat="1" ht="133.5" customHeight="1" x14ac:dyDescent="0.25">
      <c r="B43" s="15" t="str">
        <f>'1 lentelė'!$B43</f>
        <v>1.2.1.1.3</v>
      </c>
      <c r="C43" s="15" t="str">
        <f>'1 lentelė'!$C43</f>
        <v>R095511-121100-1203</v>
      </c>
      <c r="D43" s="15" t="str">
        <f>'1 lentelė'!$D43</f>
        <v xml:space="preserve">Susisiekimo sąlygų pagerinimas tarp kuriamų Anykščių miesto traukos centrų bei patogus gyvenamosios aplinkos pasiekiamumo užtikrinimas. </v>
      </c>
      <c r="E43" s="15" t="str">
        <f>'1 lentelė'!$E43</f>
        <v>Anykščių rajono savivaldybės administracija</v>
      </c>
      <c r="F43" s="35" t="s">
        <v>65</v>
      </c>
      <c r="G43" s="35" t="s">
        <v>880</v>
      </c>
      <c r="H43" s="32">
        <v>580141.18000000005</v>
      </c>
      <c r="I43" s="32">
        <v>493120</v>
      </c>
      <c r="J43" s="32">
        <v>0</v>
      </c>
      <c r="K43" s="32">
        <v>87021.18</v>
      </c>
      <c r="L43" s="53">
        <v>615073.19000000006</v>
      </c>
      <c r="M43" s="53">
        <v>522812.21</v>
      </c>
      <c r="N43" s="86">
        <v>0</v>
      </c>
      <c r="O43" s="53">
        <v>92260.98</v>
      </c>
      <c r="P43" s="53">
        <f>Q43+R43+S43</f>
        <v>580141.17999999993</v>
      </c>
      <c r="Q43" s="53">
        <v>493120</v>
      </c>
      <c r="R43" s="86">
        <v>0</v>
      </c>
      <c r="S43" s="53">
        <v>87021.18</v>
      </c>
      <c r="T43" s="53" t="s">
        <v>1186</v>
      </c>
      <c r="W43" s="240"/>
      <c r="X43" s="241"/>
      <c r="Y43" s="241"/>
      <c r="Z43" s="242"/>
    </row>
    <row r="44" spans="2:26" s="238" customFormat="1" ht="96" customHeight="1" x14ac:dyDescent="0.25">
      <c r="B44" s="15" t="str">
        <f>'1 lentelė'!$B44</f>
        <v>1.2.1.1.4</v>
      </c>
      <c r="C44" s="15" t="str">
        <f>'1 lentelė'!$C44</f>
        <v>R095511-120000-1204</v>
      </c>
      <c r="D44" s="15" t="str">
        <f>'1 lentelė'!$D44</f>
        <v>Gyvenamosios aplinkos pasiekiamumo gerinimas Zarasų mieste rekonstruojant K. Donelaičio gatvę</v>
      </c>
      <c r="E44" s="15" t="str">
        <f>'1 lentelė'!$E44</f>
        <v>Zarasų rajono savivaldybės administracija</v>
      </c>
      <c r="F44" s="35" t="s">
        <v>65</v>
      </c>
      <c r="G44" s="35" t="s">
        <v>880</v>
      </c>
      <c r="H44" s="32">
        <f>'1 lentelė'!$P44</f>
        <v>629529.59</v>
      </c>
      <c r="I44" s="32">
        <f>'1 lentelė'!$Q44</f>
        <v>535100.15</v>
      </c>
      <c r="J44" s="32">
        <f>'1 lentelė'!$R44</f>
        <v>0</v>
      </c>
      <c r="K44" s="32">
        <f>'1 lentelė'!$S44</f>
        <v>94429.439999999944</v>
      </c>
      <c r="L44" s="32">
        <v>629529.59000000008</v>
      </c>
      <c r="M44" s="53">
        <v>535100.15</v>
      </c>
      <c r="N44" s="86">
        <v>0</v>
      </c>
      <c r="O44" s="53">
        <f>47214.72+W44</f>
        <v>47214.720000000001</v>
      </c>
      <c r="P44" s="32">
        <v>629529.59</v>
      </c>
      <c r="Q44" s="32">
        <v>535100.15</v>
      </c>
      <c r="R44" s="32">
        <v>0</v>
      </c>
      <c r="S44" s="32">
        <f>P44-Q44</f>
        <v>94429.439999999944</v>
      </c>
      <c r="T44" s="32" t="s">
        <v>1463</v>
      </c>
      <c r="U44" s="245"/>
      <c r="W44" s="240"/>
      <c r="X44" s="241"/>
      <c r="Y44" s="241"/>
      <c r="Z44" s="242"/>
    </row>
    <row r="45" spans="2:26" s="238" customFormat="1" ht="71.25" customHeight="1" x14ac:dyDescent="0.25">
      <c r="B45" s="15" t="str">
        <f>'1 lentelė'!$B45</f>
        <v>1.2.1.1.5</v>
      </c>
      <c r="C45" s="15" t="str">
        <f>'1 lentelė'!$C45</f>
        <v>R095511-120000-1205</v>
      </c>
      <c r="D45" s="15" t="str">
        <f>'1 lentelė'!$D45</f>
        <v xml:space="preserve">Molėtų miesto Pastovio g., Siesarties g. ir S. Nėries g. rekonstrukcija </v>
      </c>
      <c r="E45" s="15" t="str">
        <f>'1 lentelė'!$E45</f>
        <v>Molėtų rajono savivaldybės administracija</v>
      </c>
      <c r="F45" s="35" t="s">
        <v>65</v>
      </c>
      <c r="G45" s="35" t="s">
        <v>880</v>
      </c>
      <c r="H45" s="32">
        <v>422480.42</v>
      </c>
      <c r="I45" s="32">
        <v>356602.97</v>
      </c>
      <c r="J45" s="32">
        <v>0</v>
      </c>
      <c r="K45" s="32">
        <v>65877.450000000012</v>
      </c>
      <c r="L45" s="32">
        <v>428573.82999999996</v>
      </c>
      <c r="M45" s="53">
        <v>361746.23</v>
      </c>
      <c r="N45" s="86">
        <v>0</v>
      </c>
      <c r="O45" s="53">
        <f>34684.57+W45</f>
        <v>34684.57</v>
      </c>
      <c r="P45" s="53">
        <f>Q45+R45+S45</f>
        <v>422480.42</v>
      </c>
      <c r="Q45" s="53">
        <v>356602.97</v>
      </c>
      <c r="R45" s="86">
        <v>0</v>
      </c>
      <c r="S45" s="53">
        <v>65877.45</v>
      </c>
      <c r="T45" s="53" t="s">
        <v>1192</v>
      </c>
      <c r="U45" s="285"/>
      <c r="W45" s="240"/>
      <c r="X45" s="241"/>
      <c r="Y45" s="241"/>
      <c r="Z45" s="242"/>
    </row>
    <row r="46" spans="2:26" s="6" customFormat="1" ht="99" customHeight="1" x14ac:dyDescent="0.25">
      <c r="B46" s="15" t="str">
        <f>'1 lentelė'!$B46</f>
        <v>1.2.1.1.6</v>
      </c>
      <c r="C46" s="15" t="str">
        <f>'1 lentelė'!$C46</f>
        <v>R095511-120000-1206</v>
      </c>
      <c r="D46" s="15" t="str">
        <f>'1 lentelė'!$D46</f>
        <v xml:space="preserve">Aušros gatvės dalies nuo Gedimino ir Tauragnų gatvių sankryžos iki Žaliosios gatvės Utenoje rekonstrukcija. </v>
      </c>
      <c r="E46" s="15" t="str">
        <f>'1 lentelė'!$E46</f>
        <v>Utenos rajono savivaldybės administracija</v>
      </c>
      <c r="F46" s="35" t="s">
        <v>65</v>
      </c>
      <c r="G46" s="37" t="s">
        <v>1090</v>
      </c>
      <c r="H46" s="29">
        <f>'1 lentelė'!$P46</f>
        <v>944540.69</v>
      </c>
      <c r="I46" s="29">
        <f>'1 lentelė'!$Q46</f>
        <v>323969.08999999997</v>
      </c>
      <c r="J46" s="29">
        <f>'1 lentelė'!$R46</f>
        <v>0</v>
      </c>
      <c r="K46" s="29">
        <f>'1 lentelė'!$S46</f>
        <v>620571.6</v>
      </c>
      <c r="L46" s="29">
        <v>944540.69000000006</v>
      </c>
      <c r="M46" s="55">
        <v>323969.08999999997</v>
      </c>
      <c r="N46" s="252">
        <v>0</v>
      </c>
      <c r="O46" s="55">
        <f>549731.05+W46</f>
        <v>620571.60000000009</v>
      </c>
      <c r="P46" s="55">
        <v>791431.88</v>
      </c>
      <c r="Q46" s="55">
        <v>271454.12</v>
      </c>
      <c r="R46" s="55">
        <v>0</v>
      </c>
      <c r="S46" s="55">
        <f>P46-Q46</f>
        <v>519977.76</v>
      </c>
      <c r="T46" s="55"/>
      <c r="W46" s="100">
        <v>70840.55</v>
      </c>
      <c r="X46" s="101"/>
      <c r="Y46" s="101"/>
      <c r="Z46" s="47">
        <f t="shared" ref="Z46:Z53" si="8">L46-M46-N46-O46</f>
        <v>0</v>
      </c>
    </row>
    <row r="47" spans="2:26" s="238" customFormat="1" ht="81.75" customHeight="1" x14ac:dyDescent="0.25">
      <c r="B47" s="15" t="str">
        <f>'1 lentelė'!$B47</f>
        <v>1.2.1.1.7</v>
      </c>
      <c r="C47" s="15" t="str">
        <f>'1 lentelė'!$C47</f>
        <v>R095511-120000-1207</v>
      </c>
      <c r="D47" s="15" t="str">
        <f>'1 lentelė'!$D47</f>
        <v>Vietinės reikšmės kelio Visagino-Parko-Sedulinos al. kvartale rekonstravimas</v>
      </c>
      <c r="E47" s="15" t="str">
        <f>'1 lentelė'!$E47</f>
        <v>Visagino savivaldybės administracija</v>
      </c>
      <c r="F47" s="35" t="s">
        <v>65</v>
      </c>
      <c r="G47" s="35" t="s">
        <v>1090</v>
      </c>
      <c r="H47" s="32">
        <f>'1 lentelė'!$P47</f>
        <v>956722.11</v>
      </c>
      <c r="I47" s="32">
        <f>'1 lentelė'!$Q47</f>
        <v>759345.73</v>
      </c>
      <c r="J47" s="32">
        <f>'1 lentelė'!$R47</f>
        <v>0</v>
      </c>
      <c r="K47" s="32">
        <f>'1 lentelė'!$S47</f>
        <v>197376.38</v>
      </c>
      <c r="L47" s="53">
        <v>956722.11</v>
      </c>
      <c r="M47" s="53">
        <v>759345.73</v>
      </c>
      <c r="N47" s="86">
        <v>0</v>
      </c>
      <c r="O47" s="53">
        <f>L47-M47</f>
        <v>197376.38</v>
      </c>
      <c r="P47" s="53">
        <v>845873.85</v>
      </c>
      <c r="Q47" s="53">
        <v>654705.15</v>
      </c>
      <c r="R47" s="86">
        <v>0</v>
      </c>
      <c r="S47" s="53">
        <f>P47-Q47</f>
        <v>191168.69999999995</v>
      </c>
      <c r="T47" s="53"/>
      <c r="U47" s="242"/>
      <c r="W47" s="240"/>
      <c r="X47" s="241"/>
      <c r="Y47" s="241"/>
      <c r="Z47" s="242"/>
    </row>
    <row r="48" spans="2:26" s="6" customFormat="1" ht="97.5" customHeight="1" x14ac:dyDescent="0.25">
      <c r="B48" s="15" t="str">
        <f>'1 lentelė'!$B48</f>
        <v>1.2.1.1.8</v>
      </c>
      <c r="C48" s="15" t="str">
        <f>'1 lentelė'!$C48</f>
        <v>R095511-120000-1208</v>
      </c>
      <c r="D48" s="15" t="str">
        <f>'1 lentelė'!$D48</f>
        <v>Gyvenamosios aplinkos pasiekiamumo gerinimas Zarasų mieste rekonstruojant E. Pliaterytės gatvę</v>
      </c>
      <c r="E48" s="15" t="str">
        <f>'1 lentelė'!$E48</f>
        <v>Zarasų rajono savivaldybės administracija</v>
      </c>
      <c r="F48" s="29" t="s">
        <v>65</v>
      </c>
      <c r="G48" s="35" t="s">
        <v>1090</v>
      </c>
      <c r="H48" s="29">
        <f>'1 lentelė'!$P48</f>
        <v>108426.93</v>
      </c>
      <c r="I48" s="29">
        <f>'1 lentelė'!$Q48</f>
        <v>87059.24</v>
      </c>
      <c r="J48" s="29">
        <f>'1 lentelė'!$R48</f>
        <v>0</v>
      </c>
      <c r="K48" s="29">
        <f>'1 lentelė'!$S48</f>
        <v>21367.689999999988</v>
      </c>
      <c r="L48" s="29">
        <v>108426.93</v>
      </c>
      <c r="M48" s="55">
        <v>87059.24</v>
      </c>
      <c r="N48" s="252">
        <v>0</v>
      </c>
      <c r="O48" s="55">
        <f>L48-M48</f>
        <v>21367.689999999988</v>
      </c>
      <c r="P48" s="251">
        <v>0</v>
      </c>
      <c r="Q48" s="251">
        <v>0</v>
      </c>
      <c r="R48" s="251">
        <v>0</v>
      </c>
      <c r="S48" s="251">
        <v>0</v>
      </c>
      <c r="T48" s="54"/>
      <c r="W48" s="100">
        <v>0</v>
      </c>
      <c r="X48" s="101"/>
      <c r="Y48" s="101"/>
      <c r="Z48" s="47">
        <f t="shared" si="8"/>
        <v>0</v>
      </c>
    </row>
    <row r="49" spans="2:26" s="6" customFormat="1" ht="112.5" customHeight="1" x14ac:dyDescent="0.25">
      <c r="B49" s="15" t="str">
        <f>'1 lentelė'!$B49</f>
        <v>1.2.1.1.9</v>
      </c>
      <c r="C49" s="15" t="str">
        <f>'1 lentelė'!$C49</f>
        <v>R095511-120000-1220</v>
      </c>
      <c r="D49" s="15" t="str">
        <f>'1 lentelė'!$D49</f>
        <v>Eismo sąlygų pagerinimas ir gyvenamosios aplinkos pasiekiamumo užtikrinimas, rekonstruojant Žvejų gatvę Anykščių mieste</v>
      </c>
      <c r="E49" s="15" t="str">
        <f>'1 lentelė'!$E49</f>
        <v>Anykščių rajono savivaldybės administracija</v>
      </c>
      <c r="F49" s="35" t="s">
        <v>65</v>
      </c>
      <c r="G49" s="37" t="s">
        <v>66</v>
      </c>
      <c r="H49" s="29">
        <f>'1 lentelė'!$P49</f>
        <v>347852.33</v>
      </c>
      <c r="I49" s="29">
        <f>'1 lentelė'!$Q49</f>
        <v>295674.48</v>
      </c>
      <c r="J49" s="29">
        <f>'1 lentelė'!$R49</f>
        <v>0</v>
      </c>
      <c r="K49" s="29">
        <f>'1 lentelė'!$S49</f>
        <v>52177.850000000035</v>
      </c>
      <c r="L49" s="29">
        <v>0</v>
      </c>
      <c r="M49" s="252">
        <v>0</v>
      </c>
      <c r="N49" s="252">
        <v>0</v>
      </c>
      <c r="O49" s="252">
        <v>0</v>
      </c>
      <c r="P49" s="251">
        <v>0</v>
      </c>
      <c r="Q49" s="251">
        <v>0</v>
      </c>
      <c r="R49" s="251">
        <v>0</v>
      </c>
      <c r="S49" s="251">
        <v>0</v>
      </c>
      <c r="T49" s="54"/>
      <c r="W49" s="100">
        <v>0</v>
      </c>
      <c r="X49" s="101"/>
      <c r="Y49" s="101"/>
      <c r="Z49" s="47">
        <f t="shared" si="8"/>
        <v>0</v>
      </c>
    </row>
    <row r="50" spans="2:26" s="6" customFormat="1" ht="58.5" customHeight="1" x14ac:dyDescent="0.25">
      <c r="B50" s="15" t="str">
        <f>'1 lentelė'!$B50</f>
        <v>1.2.1.1.10</v>
      </c>
      <c r="C50" s="15" t="str">
        <f>'1 lentelė'!$C50</f>
        <v>R095511-120000-1221</v>
      </c>
      <c r="D50" s="15" t="str">
        <f>'1 lentelė'!$D50</f>
        <v>Ignalinos miesto Ligoninės gatvės dalies rekonstrukcija</v>
      </c>
      <c r="E50" s="15" t="str">
        <f>'1 lentelė'!$E50</f>
        <v>Ignalinos rajono savivaldybės administracija</v>
      </c>
      <c r="F50" s="37" t="s">
        <v>65</v>
      </c>
      <c r="G50" s="37" t="s">
        <v>66</v>
      </c>
      <c r="H50" s="29">
        <f>'1 lentelė'!$P50</f>
        <v>179266</v>
      </c>
      <c r="I50" s="29">
        <f>'1 lentelė'!$Q50</f>
        <v>152376.1</v>
      </c>
      <c r="J50" s="29">
        <f>'1 lentelė'!$R50</f>
        <v>0</v>
      </c>
      <c r="K50" s="29">
        <f>'1 lentelė'!$S50</f>
        <v>26889.899999999994</v>
      </c>
      <c r="L50" s="29">
        <v>0</v>
      </c>
      <c r="M50" s="252">
        <v>0</v>
      </c>
      <c r="N50" s="252">
        <v>0</v>
      </c>
      <c r="O50" s="252">
        <v>0</v>
      </c>
      <c r="P50" s="251">
        <v>0</v>
      </c>
      <c r="Q50" s="251">
        <v>0</v>
      </c>
      <c r="R50" s="251">
        <v>0</v>
      </c>
      <c r="S50" s="251">
        <v>0</v>
      </c>
      <c r="T50" s="54"/>
      <c r="W50" s="100">
        <v>0</v>
      </c>
      <c r="X50" s="101"/>
      <c r="Y50" s="101"/>
      <c r="Z50" s="47">
        <f t="shared" si="8"/>
        <v>0</v>
      </c>
    </row>
    <row r="51" spans="2:26" s="6" customFormat="1" ht="64.5" customHeight="1" x14ac:dyDescent="0.25">
      <c r="B51" s="15" t="str">
        <f>'1 lentelė'!$B51</f>
        <v>1.2.1.1.11</v>
      </c>
      <c r="C51" s="15" t="str">
        <f>'1 lentelė'!$C51</f>
        <v>R095511-120000-1222</v>
      </c>
      <c r="D51" s="15" t="str">
        <f>'1 lentelė'!$D51</f>
        <v>Saugaus eismo priemonių diegimas Ignalinos rajono keliuose</v>
      </c>
      <c r="E51" s="15" t="str">
        <f>'1 lentelė'!$E51</f>
        <v>Ignalinos rajono savivaldybės administracija</v>
      </c>
      <c r="F51" s="29" t="s">
        <v>66</v>
      </c>
      <c r="G51" s="37" t="s">
        <v>66</v>
      </c>
      <c r="H51" s="29">
        <f>'1 lentelė'!$P51</f>
        <v>229502.15</v>
      </c>
      <c r="I51" s="29">
        <f>'1 lentelė'!$Q51</f>
        <v>195076.83</v>
      </c>
      <c r="J51" s="29">
        <f>'1 lentelė'!$R51</f>
        <v>0</v>
      </c>
      <c r="K51" s="29">
        <f>'1 lentelė'!$S51</f>
        <v>34425.320000000007</v>
      </c>
      <c r="L51" s="29">
        <v>0</v>
      </c>
      <c r="M51" s="252">
        <v>0</v>
      </c>
      <c r="N51" s="252">
        <v>0</v>
      </c>
      <c r="O51" s="252">
        <v>0</v>
      </c>
      <c r="P51" s="251">
        <v>0</v>
      </c>
      <c r="Q51" s="251">
        <v>0</v>
      </c>
      <c r="R51" s="251">
        <v>0</v>
      </c>
      <c r="S51" s="251">
        <v>0</v>
      </c>
      <c r="T51" s="54"/>
      <c r="W51" s="100">
        <v>0</v>
      </c>
      <c r="X51" s="101"/>
      <c r="Y51" s="101"/>
      <c r="Z51" s="47">
        <f t="shared" si="8"/>
        <v>0</v>
      </c>
    </row>
    <row r="52" spans="2:26" s="6" customFormat="1" ht="76.5" customHeight="1" x14ac:dyDescent="0.25">
      <c r="B52" s="15" t="str">
        <f>'1 lentelė'!$B52</f>
        <v>1.2.1.1.12</v>
      </c>
      <c r="C52" s="15" t="str">
        <f>'1 lentelė'!$C52</f>
        <v>R095511-120000-1223</v>
      </c>
      <c r="D52" s="15" t="str">
        <f>'1 lentelė'!$D52</f>
        <v>Saugaus eismo priemonių diegimas Molėtų rajono  Giedraičių miestelyje</v>
      </c>
      <c r="E52" s="15" t="str">
        <f>'1 lentelė'!$E52</f>
        <v>Molėtų rajono savivaldybės administracija</v>
      </c>
      <c r="F52" s="37" t="s">
        <v>66</v>
      </c>
      <c r="G52" s="37" t="s">
        <v>66</v>
      </c>
      <c r="H52" s="29">
        <v>228947.49</v>
      </c>
      <c r="I52" s="29">
        <v>160885.54999999999</v>
      </c>
      <c r="J52" s="29">
        <v>0</v>
      </c>
      <c r="K52" s="29">
        <v>68061.94</v>
      </c>
      <c r="L52" s="29">
        <v>0</v>
      </c>
      <c r="M52" s="252">
        <v>0</v>
      </c>
      <c r="N52" s="252">
        <v>0</v>
      </c>
      <c r="O52" s="252">
        <v>0</v>
      </c>
      <c r="P52" s="251">
        <v>0</v>
      </c>
      <c r="Q52" s="251">
        <v>0</v>
      </c>
      <c r="R52" s="251">
        <v>0</v>
      </c>
      <c r="S52" s="251">
        <v>0</v>
      </c>
      <c r="T52" s="54"/>
      <c r="W52" s="100">
        <v>0</v>
      </c>
      <c r="X52" s="101"/>
      <c r="Y52" s="101"/>
      <c r="Z52" s="47">
        <f t="shared" si="8"/>
        <v>0</v>
      </c>
    </row>
    <row r="53" spans="2:26" s="6" customFormat="1" ht="63.75" customHeight="1" x14ac:dyDescent="0.25">
      <c r="B53" s="15" t="str">
        <f>'1 lentelė'!$B53</f>
        <v>1.2.1.1.14</v>
      </c>
      <c r="C53" s="15" t="str">
        <f>'1 lentelė'!$C53</f>
        <v>R095511-120000-1225</v>
      </c>
      <c r="D53" s="15" t="str">
        <f>'1 lentelė'!$D53</f>
        <v>Saugaus eismo priemonių diegimas Žemaitės gatvėje Zarasų mieste</v>
      </c>
      <c r="E53" s="15" t="str">
        <f>'1 lentelė'!$E53</f>
        <v>Zarasų rajono savivaldybės administracija</v>
      </c>
      <c r="F53" s="35" t="s">
        <v>66</v>
      </c>
      <c r="G53" s="37" t="s">
        <v>66</v>
      </c>
      <c r="H53" s="29">
        <f>'1 lentelė'!$P53</f>
        <v>296612</v>
      </c>
      <c r="I53" s="29">
        <f>'1 lentelė'!$Q53</f>
        <v>214303</v>
      </c>
      <c r="J53" s="29">
        <f>'1 lentelė'!$R53</f>
        <v>0</v>
      </c>
      <c r="K53" s="29">
        <f>'1 lentelė'!$S53</f>
        <v>82309</v>
      </c>
      <c r="L53" s="29">
        <v>0</v>
      </c>
      <c r="M53" s="252">
        <v>0</v>
      </c>
      <c r="N53" s="252">
        <v>0</v>
      </c>
      <c r="O53" s="252">
        <v>0</v>
      </c>
      <c r="P53" s="251">
        <v>0</v>
      </c>
      <c r="Q53" s="251">
        <v>0</v>
      </c>
      <c r="R53" s="251">
        <v>0</v>
      </c>
      <c r="S53" s="251">
        <v>0</v>
      </c>
      <c r="T53" s="54"/>
      <c r="W53" s="100">
        <v>0</v>
      </c>
      <c r="X53" s="101"/>
      <c r="Y53" s="101"/>
      <c r="Z53" s="47">
        <f t="shared" si="8"/>
        <v>0</v>
      </c>
    </row>
    <row r="54" spans="2:26" s="6" customFormat="1" ht="130.5" customHeight="1" x14ac:dyDescent="0.25">
      <c r="B54" s="48" t="str">
        <f>'1 lentelė'!$B54</f>
        <v xml:space="preserve">1.2.2 </v>
      </c>
      <c r="C54" s="48"/>
      <c r="D54" s="48" t="str">
        <f>'1 lentelė'!$D54</f>
        <v>Uždavinys: Plėtoti  aplinką tausojančią ir eismo saugą didinančią infrastruktūrą ir priemones bei darnų judumą</v>
      </c>
      <c r="E54" s="48"/>
      <c r="F54" s="48"/>
      <c r="G54" s="48"/>
      <c r="H54" s="48"/>
      <c r="I54" s="48"/>
      <c r="J54" s="48"/>
      <c r="K54" s="48"/>
      <c r="L54" s="48"/>
      <c r="M54" s="48"/>
      <c r="N54" s="48"/>
      <c r="O54" s="48"/>
      <c r="P54" s="48"/>
      <c r="Q54" s="48"/>
      <c r="R54" s="48"/>
      <c r="S54" s="48"/>
      <c r="T54" s="26"/>
    </row>
    <row r="55" spans="2:26" s="6" customFormat="1" ht="69.75" customHeight="1" x14ac:dyDescent="0.25">
      <c r="B55" s="50" t="str">
        <f>'1 lentelė'!$B55</f>
        <v>1.2.2.1</v>
      </c>
      <c r="C55" s="248" t="s">
        <v>231</v>
      </c>
      <c r="D55" s="90" t="str">
        <f>'1 lentelė'!$D55</f>
        <v>Priemonė: Pėsčiųjų ir dviračių takų rekonstrukcija ir plėtra</v>
      </c>
      <c r="E55" s="50"/>
      <c r="F55" s="50"/>
      <c r="G55" s="50"/>
      <c r="H55" s="279">
        <f>SUM(H56:H61)</f>
        <v>729764.49</v>
      </c>
      <c r="I55" s="279">
        <f t="shared" ref="I55:M55" si="9">SUM(I56:I61)</f>
        <v>407259</v>
      </c>
      <c r="J55" s="279">
        <f t="shared" si="9"/>
        <v>0</v>
      </c>
      <c r="K55" s="279">
        <f t="shared" si="9"/>
        <v>322505.49</v>
      </c>
      <c r="L55" s="279">
        <f t="shared" si="9"/>
        <v>482407.73</v>
      </c>
      <c r="M55" s="279">
        <f t="shared" si="9"/>
        <v>308052</v>
      </c>
      <c r="N55" s="279">
        <f t="shared" ref="N55" si="10">SUM(N56:N61)</f>
        <v>0</v>
      </c>
      <c r="O55" s="279">
        <f t="shared" ref="O55" si="11">SUM(O56:O61)</f>
        <v>174355.72999999998</v>
      </c>
      <c r="P55" s="279">
        <f t="shared" ref="P55" si="12">SUM(P56:P61)</f>
        <v>445213.42</v>
      </c>
      <c r="Q55" s="279">
        <f t="shared" ref="Q55" si="13">SUM(Q56:Q61)</f>
        <v>286797.41000000003</v>
      </c>
      <c r="R55" s="279">
        <f t="shared" ref="R55" si="14">SUM(R56:R61)</f>
        <v>0</v>
      </c>
      <c r="S55" s="279">
        <f t="shared" ref="S55" si="15">SUM(S56:S61)</f>
        <v>158416.00999999998</v>
      </c>
      <c r="T55" s="279">
        <f t="shared" ref="T55" si="16">SUM(T56:T61)</f>
        <v>0</v>
      </c>
    </row>
    <row r="56" spans="2:26" s="6" customFormat="1" ht="13.5" customHeight="1" x14ac:dyDescent="0.25">
      <c r="B56" s="15"/>
      <c r="C56" s="15"/>
      <c r="D56" s="15"/>
      <c r="E56" s="15"/>
      <c r="F56" s="35"/>
      <c r="G56" s="35"/>
      <c r="H56" s="29"/>
      <c r="I56" s="29"/>
      <c r="J56" s="29"/>
      <c r="K56" s="29"/>
      <c r="L56" s="29"/>
      <c r="M56" s="29"/>
      <c r="N56" s="29"/>
      <c r="O56" s="29"/>
      <c r="P56" s="251"/>
      <c r="Q56" s="251"/>
      <c r="R56" s="251"/>
      <c r="S56" s="251"/>
      <c r="T56" s="144"/>
      <c r="V56" s="44">
        <f>L56-M56-N56-O56</f>
        <v>0</v>
      </c>
      <c r="W56" s="44"/>
      <c r="X56" s="44"/>
      <c r="Y56" s="44"/>
    </row>
    <row r="57" spans="2:26" s="238" customFormat="1" ht="135" customHeight="1" x14ac:dyDescent="0.25">
      <c r="B57" s="15" t="str">
        <f>'1 lentelė'!$B57</f>
        <v>1.2.2.1.3</v>
      </c>
      <c r="C57" s="15" t="str">
        <f>'1 lentelė'!$C57</f>
        <v>R095516-190000-1210</v>
      </c>
      <c r="D57" s="15" t="str">
        <f>'1 lentelė'!$D57</f>
        <v>Dviračių ir pėsčiųjų takų tinklo palei Ąžuolų g. iki mokyklų komplekso plėtra didinant atskirų Molėtų miesto teritorijų tarpusavio integraciją</v>
      </c>
      <c r="E57" s="15" t="str">
        <f>'1 lentelė'!$E57</f>
        <v>Molėtų rajono savivaldybės administracija</v>
      </c>
      <c r="F57" s="35" t="s">
        <v>65</v>
      </c>
      <c r="G57" s="35" t="s">
        <v>1090</v>
      </c>
      <c r="H57" s="32">
        <f>'1 lentelė'!$P57</f>
        <v>322662</v>
      </c>
      <c r="I57" s="32">
        <f>'1 lentelė'!$Q57</f>
        <v>165122</v>
      </c>
      <c r="J57" s="32">
        <f>'1 lentelė'!$R57</f>
        <v>0</v>
      </c>
      <c r="K57" s="32">
        <f>'1 lentelė'!$S57</f>
        <v>157540</v>
      </c>
      <c r="L57" s="32">
        <v>226399.72999999998</v>
      </c>
      <c r="M57" s="32">
        <v>165122</v>
      </c>
      <c r="N57" s="32">
        <v>0</v>
      </c>
      <c r="O57" s="32">
        <f>33959.96+X57</f>
        <v>61277.729999999996</v>
      </c>
      <c r="P57" s="32">
        <v>210450.62</v>
      </c>
      <c r="Q57" s="32">
        <v>153489.70000000001</v>
      </c>
      <c r="R57" s="32">
        <v>0</v>
      </c>
      <c r="S57" s="32">
        <f>P57-Q57</f>
        <v>56960.919999999984</v>
      </c>
      <c r="T57" s="32"/>
      <c r="V57" s="46">
        <f t="shared" ref="V57:V59" si="17">L57-M57-N57-O57</f>
        <v>0</v>
      </c>
      <c r="W57" s="46"/>
      <c r="X57" s="46">
        <v>27317.77</v>
      </c>
      <c r="Y57" s="46" t="s">
        <v>885</v>
      </c>
    </row>
    <row r="58" spans="2:26" s="238" customFormat="1" ht="102" customHeight="1" x14ac:dyDescent="0.25">
      <c r="B58" s="15" t="str">
        <f>'1 lentelė'!$B58</f>
        <v>1.2.2.1.4</v>
      </c>
      <c r="C58" s="15" t="str">
        <f>'1 lentelė'!$C58</f>
        <v>R095516-190000-1211</v>
      </c>
      <c r="D58" s="15" t="str">
        <f>'1 lentelė'!$D58</f>
        <v>Dviračių ir pėsčiųjų takų infrastruktūros Utenos mieste plėtra, siekiant pagerinti Pramonės rajono pasiekiamumą.</v>
      </c>
      <c r="E58" s="15" t="str">
        <f>'1 lentelė'!$E58</f>
        <v>Utenos rajono savivaldybės administracija</v>
      </c>
      <c r="F58" s="35" t="s">
        <v>65</v>
      </c>
      <c r="G58" s="35" t="s">
        <v>880</v>
      </c>
      <c r="H58" s="32">
        <f>'1 lentelė'!$P58</f>
        <v>131687.24</v>
      </c>
      <c r="I58" s="32">
        <f>'1 lentelė'!$Q58</f>
        <v>71645</v>
      </c>
      <c r="J58" s="32">
        <f>'1 lentelė'!$R58</f>
        <v>0</v>
      </c>
      <c r="K58" s="32">
        <f>'1 lentelė'!$S58</f>
        <v>60042.239999999991</v>
      </c>
      <c r="L58" s="32">
        <v>131687.24</v>
      </c>
      <c r="M58" s="32">
        <v>71645</v>
      </c>
      <c r="N58" s="32">
        <v>0</v>
      </c>
      <c r="O58" s="32">
        <f>L58-M58</f>
        <v>60042.239999999991</v>
      </c>
      <c r="P58" s="286">
        <v>131687.24</v>
      </c>
      <c r="Q58" s="286">
        <v>71645</v>
      </c>
      <c r="R58" s="32">
        <v>0</v>
      </c>
      <c r="S58" s="286">
        <f>P58-Q58</f>
        <v>60042.239999999991</v>
      </c>
      <c r="T58" s="32" t="s">
        <v>1464</v>
      </c>
      <c r="V58" s="46">
        <f t="shared" si="17"/>
        <v>0</v>
      </c>
      <c r="W58" s="46"/>
      <c r="X58" s="46"/>
      <c r="Y58" s="46"/>
    </row>
    <row r="59" spans="2:26" s="238" customFormat="1" ht="89.25" customHeight="1" x14ac:dyDescent="0.25">
      <c r="B59" s="15" t="str">
        <f>'1 lentelė'!$B59</f>
        <v xml:space="preserve">1.2.2.1.5 </v>
      </c>
      <c r="C59" s="15" t="str">
        <f>'1 lentelė'!$C59</f>
        <v>R095516-190000-1212</v>
      </c>
      <c r="D59" s="15" t="str">
        <f>'1 lentelė'!$D59</f>
        <v xml:space="preserve">Pėsčiųjų ir dviračių takų plėtra Griežto ežero pakrantėje nuo Vytauto gatvės iki Griežto gatvės </v>
      </c>
      <c r="E59" s="15" t="str">
        <f>'1 lentelė'!$E59</f>
        <v xml:space="preserve">Zarasų rajono savivaldybės administracija </v>
      </c>
      <c r="F59" s="35" t="s">
        <v>30</v>
      </c>
      <c r="G59" s="35" t="s">
        <v>1090</v>
      </c>
      <c r="H59" s="32">
        <f>'1 lentelė'!$P59</f>
        <v>124320.76</v>
      </c>
      <c r="I59" s="32">
        <f>'1 lentelė'!$Q59</f>
        <v>71285</v>
      </c>
      <c r="J59" s="32">
        <f>'1 lentelė'!$R59</f>
        <v>0</v>
      </c>
      <c r="K59" s="32">
        <f>'1 lentelė'!$S59</f>
        <v>53035.759999999995</v>
      </c>
      <c r="L59" s="32">
        <v>124320.76000000001</v>
      </c>
      <c r="M59" s="32">
        <v>71285</v>
      </c>
      <c r="N59" s="32">
        <v>0</v>
      </c>
      <c r="O59" s="32">
        <v>53035.76</v>
      </c>
      <c r="P59" s="286">
        <v>103075.56</v>
      </c>
      <c r="Q59" s="286">
        <v>61662.71</v>
      </c>
      <c r="R59" s="32">
        <v>0</v>
      </c>
      <c r="S59" s="286">
        <f>P59-Q59</f>
        <v>41412.85</v>
      </c>
      <c r="T59" s="32"/>
      <c r="V59" s="238">
        <f t="shared" si="17"/>
        <v>0</v>
      </c>
    </row>
    <row r="60" spans="2:26" s="238" customFormat="1" ht="89.25" customHeight="1" x14ac:dyDescent="0.25">
      <c r="B60" s="15" t="str">
        <f>'1 lentelė'!$B60</f>
        <v>1.2.2.1.6</v>
      </c>
      <c r="C60" s="15" t="str">
        <f>'1 lentelė'!$C60</f>
        <v>R095516-190000-1213</v>
      </c>
      <c r="D60" s="15" t="str">
        <f>'1 lentelė'!$D60</f>
        <v xml:space="preserve">Pėsčiųjų takų tinklo plėtra Dusetose, Zarasų rajone </v>
      </c>
      <c r="E60" s="15" t="str">
        <f>'1 lentelė'!$E60</f>
        <v>Zarasų rajono savivaldybės administracija</v>
      </c>
      <c r="F60" s="35" t="s">
        <v>30</v>
      </c>
      <c r="G60" s="35" t="s">
        <v>1090</v>
      </c>
      <c r="H60" s="32">
        <f>'1 lentelė'!$P60</f>
        <v>48964</v>
      </c>
      <c r="I60" s="32">
        <f>'1 lentelė'!$Q60</f>
        <v>41619</v>
      </c>
      <c r="J60" s="32">
        <f>'1 lentelė'!$R60</f>
        <v>0</v>
      </c>
      <c r="K60" s="32">
        <f>'1 lentelė'!$S60</f>
        <v>7345</v>
      </c>
      <c r="L60" s="32">
        <v>0</v>
      </c>
      <c r="M60" s="32">
        <v>0</v>
      </c>
      <c r="N60" s="32">
        <v>0</v>
      </c>
      <c r="O60" s="32">
        <v>0</v>
      </c>
      <c r="P60" s="300">
        <v>0</v>
      </c>
      <c r="Q60" s="300">
        <v>0</v>
      </c>
      <c r="R60" s="32">
        <v>0</v>
      </c>
      <c r="S60" s="300">
        <v>0</v>
      </c>
      <c r="T60" s="32"/>
    </row>
    <row r="61" spans="2:26" s="238" customFormat="1" ht="89.25" customHeight="1" x14ac:dyDescent="0.25">
      <c r="B61" s="15" t="str">
        <f>'1 lentelė'!$B61</f>
        <v>1.2.2.1.7</v>
      </c>
      <c r="C61" s="15" t="str">
        <f>'1 lentelė'!$C61</f>
        <v>R095516-190000-1214</v>
      </c>
      <c r="D61" s="15" t="str">
        <f>'1 lentelė'!$D61</f>
        <v>Susisiekimo sąlygų gerinimas Molėtų mieste įrengiant pėsčiųjų takus tarp Ąžuolų ir Melioratorių gatvių</v>
      </c>
      <c r="E61" s="15" t="str">
        <f>'1 lentelė'!$E61</f>
        <v>Molėtų rajono savivaldybės administracija</v>
      </c>
      <c r="F61" s="35" t="s">
        <v>30</v>
      </c>
      <c r="G61" s="35" t="s">
        <v>1090</v>
      </c>
      <c r="H61" s="32">
        <f>'1 lentelė'!$P61</f>
        <v>102130.48999999999</v>
      </c>
      <c r="I61" s="32">
        <f>'1 lentelė'!$Q61</f>
        <v>57588</v>
      </c>
      <c r="J61" s="32">
        <f>'1 lentelė'!$R61</f>
        <v>0</v>
      </c>
      <c r="K61" s="32">
        <f>'1 lentelė'!$S61</f>
        <v>44542.49</v>
      </c>
      <c r="L61" s="32">
        <v>0</v>
      </c>
      <c r="M61" s="32">
        <v>0</v>
      </c>
      <c r="N61" s="32">
        <v>0</v>
      </c>
      <c r="O61" s="32">
        <v>0</v>
      </c>
      <c r="P61" s="300">
        <v>0</v>
      </c>
      <c r="Q61" s="300">
        <v>0</v>
      </c>
      <c r="R61" s="32">
        <v>0</v>
      </c>
      <c r="S61" s="300">
        <v>0</v>
      </c>
      <c r="T61" s="32"/>
    </row>
    <row r="62" spans="2:26" s="6" customFormat="1" ht="67.5" customHeight="1" x14ac:dyDescent="0.25">
      <c r="B62" s="50" t="str">
        <f>'1 lentelė'!$B62</f>
        <v>1.2.2.2</v>
      </c>
      <c r="C62" s="248" t="s">
        <v>1180</v>
      </c>
      <c r="D62" s="90" t="str">
        <f>'1 lentelė'!$D62</f>
        <v>Priemonė: Darnaus judumo priemonių diegimas</v>
      </c>
      <c r="E62" s="50"/>
      <c r="F62" s="50"/>
      <c r="G62" s="50"/>
      <c r="H62" s="279">
        <f>SUM(H64:H67)</f>
        <v>1608793.06</v>
      </c>
      <c r="I62" s="279">
        <f t="shared" ref="I62:S62" si="18">SUM(I64:I67)</f>
        <v>1333052</v>
      </c>
      <c r="J62" s="279">
        <f t="shared" si="18"/>
        <v>0</v>
      </c>
      <c r="K62" s="279">
        <f t="shared" si="18"/>
        <v>275741.06</v>
      </c>
      <c r="L62" s="279">
        <f t="shared" si="18"/>
        <v>35700</v>
      </c>
      <c r="M62" s="279">
        <f t="shared" si="18"/>
        <v>30345</v>
      </c>
      <c r="N62" s="279">
        <f t="shared" si="18"/>
        <v>0</v>
      </c>
      <c r="O62" s="279">
        <f t="shared" si="18"/>
        <v>5355</v>
      </c>
      <c r="P62" s="279">
        <f t="shared" si="18"/>
        <v>35700</v>
      </c>
      <c r="Q62" s="279">
        <f t="shared" si="18"/>
        <v>30345</v>
      </c>
      <c r="R62" s="279">
        <f t="shared" si="18"/>
        <v>0</v>
      </c>
      <c r="S62" s="279">
        <f t="shared" si="18"/>
        <v>5355</v>
      </c>
      <c r="T62" s="35"/>
      <c r="V62" s="44"/>
      <c r="W62" s="44"/>
      <c r="X62" s="44"/>
      <c r="Y62" s="44"/>
    </row>
    <row r="63" spans="2:26" s="6" customFormat="1" ht="24" hidden="1" customHeight="1" x14ac:dyDescent="0.25">
      <c r="B63" s="15">
        <f>'1 lentelė'!$B63</f>
        <v>0</v>
      </c>
      <c r="C63" s="15">
        <f>'1 lentelė'!$C63</f>
        <v>0</v>
      </c>
      <c r="D63" s="15">
        <f>'1 lentelė'!$D63</f>
        <v>0</v>
      </c>
      <c r="E63" s="15">
        <f>'1 lentelė'!$E63</f>
        <v>0</v>
      </c>
      <c r="F63" s="35"/>
      <c r="G63" s="35"/>
      <c r="H63" s="29">
        <f>'1 lentelė'!$P63</f>
        <v>0</v>
      </c>
      <c r="I63" s="29">
        <f>'1 lentelė'!$Q63</f>
        <v>0</v>
      </c>
      <c r="J63" s="29">
        <f>'1 lentelė'!$R63</f>
        <v>0</v>
      </c>
      <c r="K63" s="29">
        <f>'1 lentelė'!$S63</f>
        <v>0</v>
      </c>
      <c r="L63" s="98"/>
      <c r="M63" s="98"/>
      <c r="N63" s="98"/>
      <c r="O63" s="98"/>
      <c r="P63" s="98"/>
      <c r="Q63" s="98"/>
      <c r="R63" s="98"/>
      <c r="S63" s="98"/>
      <c r="T63" s="99"/>
    </row>
    <row r="64" spans="2:26" s="33" customFormat="1" ht="53.25" customHeight="1" x14ac:dyDescent="0.25">
      <c r="B64" s="15" t="str">
        <f>'1 lentelė'!$B64</f>
        <v>1.2.2.2.2</v>
      </c>
      <c r="C64" s="15" t="str">
        <f>'1 lentelė'!$C64</f>
        <v>R095513-500000-1214</v>
      </c>
      <c r="D64" s="15" t="str">
        <f>'1 lentelė'!$D64</f>
        <v xml:space="preserve">Visagino miesto darnaus judumo plano parengimas </v>
      </c>
      <c r="E64" s="15" t="str">
        <f>'1 lentelė'!$E64</f>
        <v>Visagino savivaldybės administracija</v>
      </c>
      <c r="F64" s="35" t="s">
        <v>65</v>
      </c>
      <c r="G64" s="35" t="s">
        <v>880</v>
      </c>
      <c r="H64" s="29">
        <f>'1 lentelė'!$P64</f>
        <v>20000</v>
      </c>
      <c r="I64" s="29">
        <f>'1 lentelė'!$Q64</f>
        <v>17000</v>
      </c>
      <c r="J64" s="29">
        <f>'1 lentelė'!$R64</f>
        <v>0</v>
      </c>
      <c r="K64" s="29">
        <f>'1 lentelė'!$S64</f>
        <v>3000</v>
      </c>
      <c r="L64" s="29">
        <v>20000</v>
      </c>
      <c r="M64" s="29">
        <v>17000</v>
      </c>
      <c r="N64" s="29">
        <v>0</v>
      </c>
      <c r="O64" s="29">
        <v>3000</v>
      </c>
      <c r="P64" s="29">
        <v>20000</v>
      </c>
      <c r="Q64" s="29">
        <v>17000</v>
      </c>
      <c r="R64" s="29">
        <v>0</v>
      </c>
      <c r="S64" s="29">
        <v>3000</v>
      </c>
      <c r="T64" s="29" t="s">
        <v>886</v>
      </c>
    </row>
    <row r="65" spans="2:24" s="33" customFormat="1" ht="51.75" customHeight="1" x14ac:dyDescent="0.25">
      <c r="B65" s="15" t="str">
        <f>'1 lentelė'!$B65</f>
        <v>1.2.2.2.3</v>
      </c>
      <c r="C65" s="15" t="str">
        <f>'1 lentelė'!$C65</f>
        <v>R095514-190000-1215</v>
      </c>
      <c r="D65" s="15" t="str">
        <f>'1 lentelė'!$D65</f>
        <v>Darnaus judumo infrastruktūros įrengimas Visagino mieste</v>
      </c>
      <c r="E65" s="15" t="str">
        <f>'1 lentelė'!$E65</f>
        <v>Visagino savivaldybės administracija</v>
      </c>
      <c r="F65" s="35" t="s">
        <v>65</v>
      </c>
      <c r="G65" s="35" t="s">
        <v>66</v>
      </c>
      <c r="H65" s="29">
        <f>'1 lentelė'!$P65</f>
        <v>900306</v>
      </c>
      <c r="I65" s="29">
        <f>'1 lentelė'!$Q65</f>
        <v>730838</v>
      </c>
      <c r="J65" s="29">
        <f>'1 lentelė'!$R65</f>
        <v>0</v>
      </c>
      <c r="K65" s="29">
        <f>'1 lentelė'!$S65</f>
        <v>169468</v>
      </c>
      <c r="L65" s="29">
        <v>0</v>
      </c>
      <c r="M65" s="29">
        <v>0</v>
      </c>
      <c r="N65" s="29">
        <v>0</v>
      </c>
      <c r="O65" s="29">
        <v>0</v>
      </c>
      <c r="P65" s="98">
        <v>0</v>
      </c>
      <c r="Q65" s="98">
        <v>0</v>
      </c>
      <c r="R65" s="98">
        <v>0</v>
      </c>
      <c r="S65" s="98">
        <v>0</v>
      </c>
      <c r="T65" s="99"/>
    </row>
    <row r="66" spans="2:24" s="33" customFormat="1" ht="49.5" customHeight="1" x14ac:dyDescent="0.25">
      <c r="B66" s="15" t="str">
        <f>'1 lentelė'!$B66</f>
        <v>1.2.2.2.4</v>
      </c>
      <c r="C66" s="15" t="str">
        <f>'1 lentelė'!$C66</f>
        <v>R095513-500000-1216</v>
      </c>
      <c r="D66" s="15" t="str">
        <f>'1 lentelė'!$D66</f>
        <v>Darnaus judumo Utenos mieste plano rengimas</v>
      </c>
      <c r="E66" s="15" t="str">
        <f>'1 lentelė'!$E66</f>
        <v>Utenos rajono savivaldybės administracija</v>
      </c>
      <c r="F66" s="35" t="s">
        <v>66</v>
      </c>
      <c r="G66" s="35" t="s">
        <v>880</v>
      </c>
      <c r="H66" s="29">
        <f>'1 lentelė'!$P66</f>
        <v>15700</v>
      </c>
      <c r="I66" s="29">
        <f>'1 lentelė'!$Q66</f>
        <v>13345</v>
      </c>
      <c r="J66" s="29">
        <f>'1 lentelė'!$R66</f>
        <v>0</v>
      </c>
      <c r="K66" s="29">
        <f>'1 lentelė'!$S66</f>
        <v>2355</v>
      </c>
      <c r="L66" s="29">
        <v>15700</v>
      </c>
      <c r="M66" s="29">
        <v>13345</v>
      </c>
      <c r="N66" s="29">
        <v>0</v>
      </c>
      <c r="O66" s="29">
        <v>2355</v>
      </c>
      <c r="P66" s="29">
        <v>15700</v>
      </c>
      <c r="Q66" s="29">
        <v>13345</v>
      </c>
      <c r="R66" s="29">
        <v>0</v>
      </c>
      <c r="S66" s="29">
        <v>2355</v>
      </c>
      <c r="T66" s="29" t="s">
        <v>887</v>
      </c>
    </row>
    <row r="67" spans="2:24" s="33" customFormat="1" ht="53.25" customHeight="1" x14ac:dyDescent="0.25">
      <c r="B67" s="15" t="str">
        <f>'1 lentelė'!$B67</f>
        <v>1.2.2.2.5</v>
      </c>
      <c r="C67" s="15" t="str">
        <f>'1 lentelė'!$C67</f>
        <v>R095514-190000-1217</v>
      </c>
      <c r="D67" s="15" t="str">
        <f>'1 lentelė'!$D67</f>
        <v>Utenos miesto darnaus judumo plano priemonių diegimas</v>
      </c>
      <c r="E67" s="15" t="str">
        <f>'1 lentelė'!$E67</f>
        <v>Utenos rajono savivaldybės administracija</v>
      </c>
      <c r="F67" s="35" t="s">
        <v>66</v>
      </c>
      <c r="G67" s="35" t="s">
        <v>66</v>
      </c>
      <c r="H67" s="29">
        <f>'1 lentelė'!$P67</f>
        <v>672787.06</v>
      </c>
      <c r="I67" s="29">
        <f>'1 lentelė'!$Q67</f>
        <v>571869</v>
      </c>
      <c r="J67" s="29">
        <f>'1 lentelė'!$R67</f>
        <v>0</v>
      </c>
      <c r="K67" s="29">
        <f>'1 lentelė'!$S67</f>
        <v>100918.06</v>
      </c>
      <c r="L67" s="29">
        <v>0</v>
      </c>
      <c r="M67" s="29">
        <v>0</v>
      </c>
      <c r="N67" s="29">
        <v>0</v>
      </c>
      <c r="O67" s="29">
        <v>0</v>
      </c>
      <c r="P67" s="29">
        <v>0</v>
      </c>
      <c r="Q67" s="29">
        <v>0</v>
      </c>
      <c r="R67" s="29">
        <v>0</v>
      </c>
      <c r="S67" s="29">
        <v>0</v>
      </c>
      <c r="T67" s="29"/>
      <c r="X67" s="102"/>
    </row>
    <row r="68" spans="2:24" s="6" customFormat="1" ht="115.5" customHeight="1" x14ac:dyDescent="0.25">
      <c r="B68" s="50" t="str">
        <f>'1 lentelė'!$B68</f>
        <v>1.2.2.3</v>
      </c>
      <c r="C68" s="248" t="s">
        <v>264</v>
      </c>
      <c r="D68" s="90" t="str">
        <f>'1 lentelė'!$D68</f>
        <v>Priemonė: Vietinio susisiekimo viešojo transporto priemonių parko atnaujinimas</v>
      </c>
      <c r="E68" s="50"/>
      <c r="F68" s="50"/>
      <c r="G68" s="50"/>
      <c r="H68" s="301">
        <f>H69</f>
        <v>1191647</v>
      </c>
      <c r="I68" s="301">
        <f t="shared" ref="I68:K68" si="19">I69</f>
        <v>1012900</v>
      </c>
      <c r="J68" s="301">
        <f t="shared" si="19"/>
        <v>0</v>
      </c>
      <c r="K68" s="301">
        <f t="shared" si="19"/>
        <v>178747</v>
      </c>
      <c r="L68" s="302">
        <f t="shared" ref="L68:S68" si="20">SUM(L69)</f>
        <v>0</v>
      </c>
      <c r="M68" s="302">
        <f t="shared" si="20"/>
        <v>0</v>
      </c>
      <c r="N68" s="302">
        <f t="shared" si="20"/>
        <v>0</v>
      </c>
      <c r="O68" s="302">
        <f t="shared" si="20"/>
        <v>0</v>
      </c>
      <c r="P68" s="302">
        <f t="shared" si="20"/>
        <v>0</v>
      </c>
      <c r="Q68" s="302">
        <f t="shared" si="20"/>
        <v>0</v>
      </c>
      <c r="R68" s="302">
        <f t="shared" si="20"/>
        <v>0</v>
      </c>
      <c r="S68" s="302">
        <f t="shared" si="20"/>
        <v>0</v>
      </c>
      <c r="T68" s="278"/>
    </row>
    <row r="69" spans="2:24" s="6" customFormat="1" ht="92.25" customHeight="1" x14ac:dyDescent="0.25">
      <c r="B69" s="15" t="str">
        <f>'1 lentelė'!B69</f>
        <v>1.2.2.3.3</v>
      </c>
      <c r="C69" s="15" t="str">
        <f>'1 lentelė'!C69</f>
        <v>R095518-100000-1219</v>
      </c>
      <c r="D69" s="15" t="str">
        <f>'1 lentelė'!D69</f>
        <v>Utenos rajono vietinio susisiekimo viešojo transporto priemonių parko atnaujinimas</v>
      </c>
      <c r="E69" s="15" t="str">
        <f>'1 lentelė'!E69</f>
        <v>Utenos rajono savivaldybės administracija</v>
      </c>
      <c r="F69" s="35" t="s">
        <v>66</v>
      </c>
      <c r="G69" s="35" t="s">
        <v>66</v>
      </c>
      <c r="H69" s="97">
        <f>'1 lentelė'!P69</f>
        <v>1191647</v>
      </c>
      <c r="I69" s="29">
        <f>'1 lentelė'!Q69</f>
        <v>1012900</v>
      </c>
      <c r="J69" s="29">
        <v>0</v>
      </c>
      <c r="K69" s="29">
        <f>'1 lentelė'!S69</f>
        <v>178747</v>
      </c>
      <c r="L69" s="29">
        <v>0</v>
      </c>
      <c r="M69" s="29">
        <v>0</v>
      </c>
      <c r="N69" s="29">
        <v>0</v>
      </c>
      <c r="O69" s="29">
        <v>0</v>
      </c>
      <c r="P69" s="29">
        <v>0</v>
      </c>
      <c r="Q69" s="29">
        <v>0</v>
      </c>
      <c r="R69" s="29">
        <v>0</v>
      </c>
      <c r="S69" s="29">
        <v>0</v>
      </c>
      <c r="T69" s="99"/>
    </row>
    <row r="70" spans="2:24" s="6" customFormat="1" ht="43.5" customHeight="1" x14ac:dyDescent="0.25">
      <c r="B70" s="87" t="str">
        <f>'1 lentelė'!$B70</f>
        <v>2.</v>
      </c>
      <c r="C70" s="87"/>
      <c r="D70" s="87" t="str">
        <f>'1 lentelė'!$D70</f>
        <v>Prioritetas: Integrali ekonomika</v>
      </c>
      <c r="E70" s="87"/>
      <c r="F70" s="87"/>
      <c r="G70" s="87"/>
      <c r="H70" s="87"/>
      <c r="I70" s="87"/>
      <c r="J70" s="87"/>
      <c r="K70" s="87"/>
      <c r="L70" s="87"/>
      <c r="M70" s="87"/>
      <c r="N70" s="87"/>
      <c r="O70" s="87"/>
      <c r="P70" s="87"/>
      <c r="Q70" s="87"/>
      <c r="R70" s="87"/>
      <c r="S70" s="87"/>
      <c r="T70" s="21"/>
    </row>
    <row r="71" spans="2:24" s="6" customFormat="1" ht="76.5" customHeight="1" x14ac:dyDescent="0.25">
      <c r="B71" s="88" t="str">
        <f>'1 lentelė'!$B71</f>
        <v xml:space="preserve">2.1 </v>
      </c>
      <c r="C71" s="88"/>
      <c r="D71" s="51" t="str">
        <f>'1 lentelė'!$D71</f>
        <v>Tikslas: Turizmo infrastruktūros, kultūros ir gamtos paveldo plėtra</v>
      </c>
      <c r="E71" s="88"/>
      <c r="F71" s="88"/>
      <c r="G71" s="88"/>
      <c r="H71" s="88"/>
      <c r="I71" s="88"/>
      <c r="J71" s="88"/>
      <c r="K71" s="88"/>
      <c r="L71" s="88"/>
      <c r="M71" s="88"/>
      <c r="N71" s="88"/>
      <c r="O71" s="88"/>
      <c r="P71" s="88"/>
      <c r="Q71" s="88"/>
      <c r="R71" s="88"/>
      <c r="S71" s="88"/>
      <c r="T71" s="22"/>
    </row>
    <row r="72" spans="2:24" s="6" customFormat="1" ht="63.75" customHeight="1" x14ac:dyDescent="0.25">
      <c r="B72" s="48" t="str">
        <f>'1 lentelė'!$B72</f>
        <v xml:space="preserve">2.1.1 </v>
      </c>
      <c r="C72" s="48"/>
      <c r="D72" s="48" t="str">
        <f>'1 lentelė'!$D72</f>
        <v>Uždavinys: Sutvarkyti ir aktualizuoti kultūros paveldo plėtrą</v>
      </c>
      <c r="E72" s="48"/>
      <c r="F72" s="48"/>
      <c r="G72" s="48"/>
      <c r="H72" s="48"/>
      <c r="I72" s="48"/>
      <c r="J72" s="48"/>
      <c r="K72" s="48"/>
      <c r="L72" s="48"/>
      <c r="M72" s="48"/>
      <c r="N72" s="48"/>
      <c r="O72" s="48"/>
      <c r="P72" s="48"/>
      <c r="Q72" s="48"/>
      <c r="R72" s="48"/>
      <c r="S72" s="48"/>
      <c r="T72" s="26"/>
    </row>
    <row r="73" spans="2:24" s="6" customFormat="1" ht="81" customHeight="1" x14ac:dyDescent="0.25">
      <c r="B73" s="50" t="str">
        <f>'1 lentelė'!$B73</f>
        <v>2.1.1.1</v>
      </c>
      <c r="C73" s="248" t="s">
        <v>277</v>
      </c>
      <c r="D73" s="90" t="str">
        <f>'1 lentelė'!$D73</f>
        <v>Priemonė: Aktualizuoti savivaldybių kultūros paveldo objektus</v>
      </c>
      <c r="E73" s="50"/>
      <c r="F73" s="50"/>
      <c r="G73" s="50"/>
      <c r="H73" s="279">
        <f>SUM(H74:H77)</f>
        <v>1393592.9300000002</v>
      </c>
      <c r="I73" s="279">
        <f t="shared" ref="I73:S73" si="21">SUM(I74:I77)</f>
        <v>1105749.48</v>
      </c>
      <c r="J73" s="279">
        <f t="shared" si="21"/>
        <v>0</v>
      </c>
      <c r="K73" s="279">
        <f t="shared" si="21"/>
        <v>287843.45000000007</v>
      </c>
      <c r="L73" s="279">
        <f t="shared" si="21"/>
        <v>1463952.78</v>
      </c>
      <c r="M73" s="279">
        <f t="shared" si="21"/>
        <v>1165555.3500000001</v>
      </c>
      <c r="N73" s="279">
        <f t="shared" si="21"/>
        <v>0</v>
      </c>
      <c r="O73" s="279">
        <f t="shared" si="21"/>
        <v>298397.43</v>
      </c>
      <c r="P73" s="279">
        <f t="shared" si="21"/>
        <v>996175.90000000014</v>
      </c>
      <c r="Q73" s="279">
        <f t="shared" si="21"/>
        <v>831654.83000000007</v>
      </c>
      <c r="R73" s="279">
        <f t="shared" si="21"/>
        <v>0</v>
      </c>
      <c r="S73" s="279">
        <f t="shared" si="21"/>
        <v>164521.07000000004</v>
      </c>
      <c r="T73" s="35"/>
    </row>
    <row r="74" spans="2:24" s="238" customFormat="1" ht="99.75" customHeight="1" x14ac:dyDescent="0.25">
      <c r="B74" s="15" t="str">
        <f>'1 lentelė'!$B74</f>
        <v>2.1.1.1.1</v>
      </c>
      <c r="C74" s="15" t="str">
        <f>'1 lentelė'!$C74</f>
        <v>R093302-442942-2101</v>
      </c>
      <c r="D74" s="15" t="str">
        <f>'1 lentelė'!$D74</f>
        <v xml:space="preserve">Kompleksinis Okuličiūtės dvarelio Anykščiuose sutvarkymas ir pritaikymas kultūrinei, meninei veiklai </v>
      </c>
      <c r="E74" s="15" t="str">
        <f>'1 lentelė'!$E74</f>
        <v>Anykščių rajono savivaldybės administracija</v>
      </c>
      <c r="F74" s="35" t="s">
        <v>65</v>
      </c>
      <c r="G74" s="35" t="s">
        <v>1090</v>
      </c>
      <c r="H74" s="32">
        <f>'1 lentelė'!$P74</f>
        <v>493252.18</v>
      </c>
      <c r="I74" s="32">
        <f>'1 lentelė'!$Q74</f>
        <v>419264.35</v>
      </c>
      <c r="J74" s="32">
        <f>'1 lentelė'!$R74</f>
        <v>0</v>
      </c>
      <c r="K74" s="32">
        <f>'1 lentelė'!$S74</f>
        <v>73987.830000000016</v>
      </c>
      <c r="L74" s="32">
        <v>493252.18</v>
      </c>
      <c r="M74" s="32">
        <v>419264.35</v>
      </c>
      <c r="N74" s="32">
        <v>0</v>
      </c>
      <c r="O74" s="32">
        <v>73987.83</v>
      </c>
      <c r="P74" s="286">
        <v>395891.83</v>
      </c>
      <c r="Q74" s="32">
        <v>336508.05</v>
      </c>
      <c r="R74" s="32">
        <v>0</v>
      </c>
      <c r="S74" s="286">
        <f>P74-Q74</f>
        <v>59383.780000000028</v>
      </c>
      <c r="T74" s="75"/>
    </row>
    <row r="75" spans="2:24" s="238" customFormat="1" ht="114" customHeight="1" x14ac:dyDescent="0.25">
      <c r="B75" s="15" t="str">
        <f>'1 lentelė'!$B75</f>
        <v xml:space="preserve">2.1.1.1.2 </v>
      </c>
      <c r="C75" s="15" t="str">
        <f>'1 lentelė'!$C75</f>
        <v>R093302-440000-2102</v>
      </c>
      <c r="D75" s="15" t="str">
        <f>'1 lentelė'!$D75</f>
        <v xml:space="preserve">Naujų kultūros paslaugų visuomenės kultūriniams poreikiams tenkinti sukūrimas Utenos meno mokykloje </v>
      </c>
      <c r="E75" s="15" t="str">
        <f>'1 lentelė'!$E75</f>
        <v xml:space="preserve">Pareiškėjas –Utenos rajono savivaldybės administracija, partneris – Utenos dailės mokykla </v>
      </c>
      <c r="F75" s="35" t="s">
        <v>30</v>
      </c>
      <c r="G75" s="35" t="s">
        <v>880</v>
      </c>
      <c r="H75" s="32">
        <f>'1 lentelė'!$P75</f>
        <v>212596.85</v>
      </c>
      <c r="I75" s="32">
        <f>'1 lentelė'!$Q75</f>
        <v>180707.32</v>
      </c>
      <c r="J75" s="32">
        <f>'1 lentelė'!$R75</f>
        <v>0</v>
      </c>
      <c r="K75" s="32">
        <f>'1 lentelė'!$S75</f>
        <v>31889.53</v>
      </c>
      <c r="L75" s="32">
        <v>282956.7</v>
      </c>
      <c r="M75" s="32">
        <v>240513.19</v>
      </c>
      <c r="N75" s="32">
        <v>0</v>
      </c>
      <c r="O75" s="32">
        <v>42443.51</v>
      </c>
      <c r="P75" s="32">
        <v>212596.85</v>
      </c>
      <c r="Q75" s="32">
        <v>180707.32</v>
      </c>
      <c r="R75" s="32">
        <v>0</v>
      </c>
      <c r="S75" s="32">
        <f>P75-Q75</f>
        <v>31889.53</v>
      </c>
      <c r="T75" s="29" t="s">
        <v>1193</v>
      </c>
    </row>
    <row r="76" spans="2:24" s="238" customFormat="1" ht="211.5" customHeight="1" x14ac:dyDescent="0.25">
      <c r="B76" s="15" t="str">
        <f>'1 lentelė'!$B76</f>
        <v>2.1.1.1.3</v>
      </c>
      <c r="C76" s="15" t="str">
        <f>'1 lentelė'!$C76</f>
        <v>R093302-440000-2103</v>
      </c>
      <c r="D76" s="15" t="str">
        <f>'1 lentelė'!$D76</f>
        <v>Atgailos kanauninkų vienuolyno ansamblio (u.k. 987) vienuolyno namo (u.k. 25029) Videniškių km. kapitalinis remontas ir pritaikymas Videniškių vienuolyno amatų centro ir bendruomenės poreikiams poreikiams</v>
      </c>
      <c r="E76" s="15" t="str">
        <f>'1 lentelė'!$E76</f>
        <v>Molėtų rajono savivaldybės administracija</v>
      </c>
      <c r="F76" s="35" t="s">
        <v>66</v>
      </c>
      <c r="G76" s="35" t="s">
        <v>1090</v>
      </c>
      <c r="H76" s="32">
        <f>'1 lentelė'!$P76</f>
        <v>270483.15000000002</v>
      </c>
      <c r="I76" s="32">
        <f>'1 lentelė'!$Q76</f>
        <v>221058</v>
      </c>
      <c r="J76" s="32">
        <f>'1 lentelė'!$R76</f>
        <v>0</v>
      </c>
      <c r="K76" s="32">
        <f>'1 lentelė'!$S76</f>
        <v>49425.150000000023</v>
      </c>
      <c r="L76" s="32">
        <v>270483.15000000002</v>
      </c>
      <c r="M76" s="32">
        <v>221058</v>
      </c>
      <c r="N76" s="32">
        <v>0</v>
      </c>
      <c r="O76" s="32">
        <v>49425.15</v>
      </c>
      <c r="P76" s="286">
        <v>210850.66</v>
      </c>
      <c r="Q76" s="32">
        <v>177891.94</v>
      </c>
      <c r="R76" s="32">
        <v>0</v>
      </c>
      <c r="S76" s="286">
        <f>P76-Q76</f>
        <v>32958.720000000001</v>
      </c>
      <c r="T76" s="75"/>
    </row>
    <row r="77" spans="2:24" s="239" customFormat="1" ht="73.5" customHeight="1" x14ac:dyDescent="0.25">
      <c r="B77" s="15" t="str">
        <f>'1 lentelė'!$B77</f>
        <v>2.1.1.1.4</v>
      </c>
      <c r="C77" s="223" t="str">
        <f>'1 lentelė'!$C77</f>
        <v>R093302-442942-2104</v>
      </c>
      <c r="D77" s="223" t="str">
        <f>'1 lentelė'!$D77</f>
        <v>Valstybės saugomo kultūros paveldo objekto – Antazavės dvaro aktualizavimas</v>
      </c>
      <c r="E77" s="223" t="str">
        <f>'1 lentelė'!$E77</f>
        <v>Zarasų rajono savivaldybės administracija</v>
      </c>
      <c r="F77" s="207" t="s">
        <v>66</v>
      </c>
      <c r="G77" s="207" t="s">
        <v>1090</v>
      </c>
      <c r="H77" s="216">
        <f>'1 lentelė'!$P77</f>
        <v>417260.75</v>
      </c>
      <c r="I77" s="216">
        <f>'1 lentelė'!$Q77</f>
        <v>284719.81</v>
      </c>
      <c r="J77" s="216">
        <f>'1 lentelė'!$R77</f>
        <v>0</v>
      </c>
      <c r="K77" s="216">
        <f>'1 lentelė'!$S77</f>
        <v>132540.94</v>
      </c>
      <c r="L77" s="216">
        <v>417260.75</v>
      </c>
      <c r="M77" s="216">
        <v>284719.81</v>
      </c>
      <c r="N77" s="216">
        <v>0</v>
      </c>
      <c r="O77" s="216">
        <f>L77-M77</f>
        <v>132540.94</v>
      </c>
      <c r="P77" s="287">
        <v>176836.56</v>
      </c>
      <c r="Q77" s="287">
        <v>136547.51999999999</v>
      </c>
      <c r="R77" s="216">
        <v>0</v>
      </c>
      <c r="S77" s="287">
        <f>P77-Q77</f>
        <v>40289.040000000008</v>
      </c>
      <c r="T77" s="216"/>
    </row>
    <row r="78" spans="2:24" s="6" customFormat="1" ht="67.5" customHeight="1" x14ac:dyDescent="0.25">
      <c r="B78" s="48" t="str">
        <f>'1 lentelė'!$B78</f>
        <v>2.1.2</v>
      </c>
      <c r="C78" s="48"/>
      <c r="D78" s="48" t="str">
        <f>'1 lentelė'!$D78</f>
        <v>Uždavinys: Plėtoti turizmo išteklių ir paslaugų rinkodarą</v>
      </c>
      <c r="E78" s="48"/>
      <c r="F78" s="48"/>
      <c r="G78" s="48"/>
      <c r="H78" s="48"/>
      <c r="I78" s="48"/>
      <c r="J78" s="48"/>
      <c r="K78" s="48"/>
      <c r="L78" s="48"/>
      <c r="M78" s="48"/>
      <c r="N78" s="48"/>
      <c r="O78" s="48"/>
      <c r="P78" s="48"/>
      <c r="Q78" s="48"/>
      <c r="R78" s="48"/>
      <c r="S78" s="48"/>
      <c r="T78" s="26"/>
    </row>
    <row r="79" spans="2:24" s="6" customFormat="1" ht="123" customHeight="1" x14ac:dyDescent="0.25">
      <c r="B79" s="50" t="str">
        <f>'1 lentelė'!$B79</f>
        <v>2.1.2.1</v>
      </c>
      <c r="C79" s="248" t="s">
        <v>299</v>
      </c>
      <c r="D79" s="90" t="str">
        <f>'1 lentelė'!$D79</f>
        <v>Priemonė: Savivaldybes jungiančių turizmo trasų ir turizmo maršrutų informacinės infrastruktūros plėtra</v>
      </c>
      <c r="E79" s="50"/>
      <c r="F79" s="50"/>
      <c r="G79" s="50"/>
      <c r="H79" s="279">
        <f>H81+H82+H83</f>
        <v>971293.24000000011</v>
      </c>
      <c r="I79" s="279">
        <f t="shared" ref="I79:S79" si="22">I81+I82+I83</f>
        <v>825598.65</v>
      </c>
      <c r="J79" s="279">
        <f t="shared" si="22"/>
        <v>0</v>
      </c>
      <c r="K79" s="279">
        <f t="shared" si="22"/>
        <v>145694.59000000003</v>
      </c>
      <c r="L79" s="279">
        <f>L81+L82+L83</f>
        <v>332497.71000000002</v>
      </c>
      <c r="M79" s="279">
        <f t="shared" si="22"/>
        <v>282623.05</v>
      </c>
      <c r="N79" s="279">
        <f t="shared" si="22"/>
        <v>0</v>
      </c>
      <c r="O79" s="279">
        <f t="shared" si="22"/>
        <v>49874.660000000033</v>
      </c>
      <c r="P79" s="279">
        <f t="shared" si="22"/>
        <v>0</v>
      </c>
      <c r="Q79" s="279">
        <f t="shared" si="22"/>
        <v>0</v>
      </c>
      <c r="R79" s="279">
        <f t="shared" si="22"/>
        <v>0</v>
      </c>
      <c r="S79" s="279">
        <f t="shared" si="22"/>
        <v>0</v>
      </c>
      <c r="T79" s="35"/>
    </row>
    <row r="80" spans="2:24" s="6" customFormat="1" ht="15.75" hidden="1" customHeight="1" x14ac:dyDescent="0.25">
      <c r="B80" s="15"/>
      <c r="C80" s="15"/>
      <c r="D80" s="15"/>
      <c r="E80" s="15"/>
      <c r="F80" s="15"/>
      <c r="G80" s="15"/>
      <c r="H80" s="15"/>
      <c r="I80" s="15"/>
      <c r="J80" s="15"/>
      <c r="K80" s="15"/>
      <c r="L80" s="15"/>
      <c r="M80" s="15"/>
      <c r="N80" s="15"/>
      <c r="O80" s="15"/>
      <c r="P80" s="15"/>
      <c r="Q80" s="15"/>
      <c r="R80" s="15"/>
      <c r="S80" s="15"/>
      <c r="T80" s="15"/>
    </row>
    <row r="81" spans="1:24" s="6" customFormat="1" ht="82.5" customHeight="1" x14ac:dyDescent="0.25">
      <c r="B81" s="15" t="str">
        <f>'1 lentelė'!B80</f>
        <v xml:space="preserve">2.1.2.1.2 </v>
      </c>
      <c r="C81" s="15" t="str">
        <f>'1 lentelė'!C80</f>
        <v>R098821-420000-2106</v>
      </c>
      <c r="D81" s="15" t="str">
        <f>'1 lentelė'!D80</f>
        <v>Informacinės infrastruktūros plėtra Ignalinos, Molėtų ir Utenos rajonuose</v>
      </c>
      <c r="E81" s="15" t="str">
        <f>'1 lentelė'!E80</f>
        <v>Ignalinos rajono savivaldybės administracija</v>
      </c>
      <c r="F81" s="15" t="str">
        <f>'1 lentelė'!F80</f>
        <v xml:space="preserve">Lietuvos Respublikos ūkio ministerija </v>
      </c>
      <c r="G81" s="15" t="s">
        <v>1090</v>
      </c>
      <c r="H81" s="15">
        <f>'1 lentelė'!P80</f>
        <v>332497.71000000002</v>
      </c>
      <c r="I81" s="15">
        <f>'1 lentelė'!Q80</f>
        <v>282623.05</v>
      </c>
      <c r="J81" s="15">
        <f>'1 lentelė'!R80</f>
        <v>0</v>
      </c>
      <c r="K81" s="15">
        <f>'1 lentelė'!S80</f>
        <v>49874.660000000033</v>
      </c>
      <c r="L81" s="15">
        <v>332497.71000000002</v>
      </c>
      <c r="M81" s="15">
        <v>282623.05</v>
      </c>
      <c r="N81" s="15">
        <v>0</v>
      </c>
      <c r="O81" s="15">
        <v>49874.660000000033</v>
      </c>
      <c r="P81" s="15">
        <v>0</v>
      </c>
      <c r="Q81" s="15">
        <v>0</v>
      </c>
      <c r="R81" s="15">
        <v>0</v>
      </c>
      <c r="S81" s="15">
        <v>0</v>
      </c>
      <c r="T81" s="15"/>
    </row>
    <row r="82" spans="1:24" s="6" customFormat="1" ht="82.5" customHeight="1" x14ac:dyDescent="0.25">
      <c r="B82" s="15" t="str">
        <f>'1 lentelė'!B81</f>
        <v>2.1.2.1.3</v>
      </c>
      <c r="C82" s="15" t="str">
        <f>'1 lentelė'!C81</f>
        <v>R098821-420000-2107</v>
      </c>
      <c r="D82" s="15" t="str">
        <f>'1 lentelė'!D81</f>
        <v>Taktiliniai maketai turistui po atviru dangumi</v>
      </c>
      <c r="E82" s="15" t="str">
        <f>'1 lentelė'!E81</f>
        <v>Anykščių  rajono savivaldybės administracija</v>
      </c>
      <c r="F82" s="15" t="str">
        <f>'1 lentelė'!F81</f>
        <v xml:space="preserve">Lietuvos Respublikos ūkio ministerija </v>
      </c>
      <c r="G82" s="310" t="s">
        <v>66</v>
      </c>
      <c r="H82" s="15">
        <f>'1 lentelė'!P81</f>
        <v>340463.14</v>
      </c>
      <c r="I82" s="15">
        <f>'1 lentelė'!Q81</f>
        <v>289393.07</v>
      </c>
      <c r="J82" s="15">
        <f>'1 lentelė'!R81</f>
        <v>0</v>
      </c>
      <c r="K82" s="15">
        <f>'1 lentelė'!S81</f>
        <v>51070.07</v>
      </c>
      <c r="L82" s="15">
        <v>0</v>
      </c>
      <c r="M82" s="15">
        <v>0</v>
      </c>
      <c r="N82" s="15">
        <v>0</v>
      </c>
      <c r="O82" s="15">
        <v>0</v>
      </c>
      <c r="P82" s="15">
        <v>0</v>
      </c>
      <c r="Q82" s="15">
        <v>0</v>
      </c>
      <c r="R82" s="15">
        <v>0</v>
      </c>
      <c r="S82" s="15">
        <v>0</v>
      </c>
      <c r="T82" s="15"/>
    </row>
    <row r="83" spans="1:24" s="6" customFormat="1" ht="82.5" customHeight="1" x14ac:dyDescent="0.25">
      <c r="B83" s="15" t="str">
        <f>'1 lentelė'!B82</f>
        <v>2.1.2.1.4</v>
      </c>
      <c r="C83" s="15" t="str">
        <f>'1 lentelė'!C82</f>
        <v>R098821-420000-2108</v>
      </c>
      <c r="D83" s="15" t="str">
        <f>'1 lentelė'!D82</f>
        <v>Turizmo informacinės infrastruktūros plėtra Utenos, Ignalinos, Zarasų rajonų ir Visagino savivaldybėse</v>
      </c>
      <c r="E83" s="15" t="str">
        <f>'1 lentelė'!E82</f>
        <v>Utenos rajono savivaldybės administracija</v>
      </c>
      <c r="F83" s="15" t="str">
        <f>'1 lentelė'!F82</f>
        <v>Lietuvos Respublikos ekonomikos ir inovacijų ministerija</v>
      </c>
      <c r="G83" s="310" t="s">
        <v>66</v>
      </c>
      <c r="H83" s="15">
        <f>'1 lentelė'!P82</f>
        <v>298332.39</v>
      </c>
      <c r="I83" s="15">
        <f>'1 lentelė'!Q82</f>
        <v>253582.53</v>
      </c>
      <c r="J83" s="15">
        <f>'1 lentelė'!R82</f>
        <v>0</v>
      </c>
      <c r="K83" s="15">
        <f>'1 lentelė'!S82</f>
        <v>44749.86</v>
      </c>
      <c r="L83" s="15">
        <v>0</v>
      </c>
      <c r="M83" s="15">
        <v>0</v>
      </c>
      <c r="N83" s="15">
        <v>0</v>
      </c>
      <c r="O83" s="15">
        <v>0</v>
      </c>
      <c r="P83" s="15">
        <v>0</v>
      </c>
      <c r="Q83" s="15">
        <v>0</v>
      </c>
      <c r="R83" s="15">
        <v>0</v>
      </c>
      <c r="S83" s="15">
        <v>0</v>
      </c>
      <c r="T83" s="15"/>
    </row>
    <row r="84" spans="1:24" s="6" customFormat="1" ht="117" customHeight="1" x14ac:dyDescent="0.25">
      <c r="B84" s="88" t="str">
        <f>'1 lentelė'!$B82</f>
        <v>2.1.2.1.4</v>
      </c>
      <c r="C84" s="88"/>
      <c r="D84" s="51" t="str">
        <f>'1 lentelė'!$D82</f>
        <v>Turizmo informacinės infrastruktūros plėtra Utenos, Ignalinos, Zarasų rajonų ir Visagino savivaldybėse</v>
      </c>
      <c r="E84" s="88"/>
      <c r="F84" s="88"/>
      <c r="G84" s="88"/>
      <c r="H84" s="88"/>
      <c r="I84" s="88"/>
      <c r="J84" s="88"/>
      <c r="K84" s="88"/>
      <c r="L84" s="88"/>
      <c r="M84" s="88"/>
      <c r="N84" s="88"/>
      <c r="O84" s="88"/>
      <c r="P84" s="88"/>
      <c r="Q84" s="88"/>
      <c r="R84" s="88"/>
      <c r="S84" s="88"/>
      <c r="T84" s="22"/>
    </row>
    <row r="85" spans="1:24" s="6" customFormat="1" ht="144.75" customHeight="1" x14ac:dyDescent="0.25">
      <c r="B85" s="48" t="str">
        <f>'1 lentelė'!$B84</f>
        <v>2.2.1</v>
      </c>
      <c r="C85" s="48"/>
      <c r="D85" s="48" t="str">
        <f>'1 lentelė'!$D84</f>
        <v>Uždavinys: Plėtoti tvarią šilumos energijos, vandens tiekimo, nuotekų šalinimo ir atliekų tvarkymo sistemą</v>
      </c>
      <c r="E85" s="48"/>
      <c r="F85" s="48"/>
      <c r="G85" s="48"/>
      <c r="H85" s="48"/>
      <c r="I85" s="48"/>
      <c r="J85" s="48"/>
      <c r="K85" s="48"/>
      <c r="L85" s="48"/>
      <c r="M85" s="48"/>
      <c r="N85" s="48"/>
      <c r="O85" s="48"/>
      <c r="P85" s="48"/>
      <c r="Q85" s="48"/>
      <c r="R85" s="48"/>
      <c r="S85" s="48"/>
      <c r="T85" s="26"/>
    </row>
    <row r="86" spans="1:24" s="6" customFormat="1" ht="165" customHeight="1" x14ac:dyDescent="0.25">
      <c r="B86" s="50" t="str">
        <f>'1 lentelė'!$B85</f>
        <v>2.2.1.1</v>
      </c>
      <c r="C86" s="248" t="s">
        <v>314</v>
      </c>
      <c r="D86" s="90" t="str">
        <f>'1 lentelė'!$D85</f>
        <v>Priemonė: Geriamojo vandens tiekimo ir nuotekų tvarkymo sistemų renovavimas ir plėtra, įmonių valdymo tobulinimas</v>
      </c>
      <c r="E86" s="50"/>
      <c r="F86" s="50"/>
      <c r="G86" s="50"/>
      <c r="H86" s="279">
        <f>SUM(H87:H97)</f>
        <v>14893271.4</v>
      </c>
      <c r="I86" s="279">
        <f t="shared" ref="I86:S86" si="23">SUM(I87:I97)</f>
        <v>8830993.7300000004</v>
      </c>
      <c r="J86" s="279">
        <f t="shared" si="23"/>
        <v>0</v>
      </c>
      <c r="K86" s="279">
        <f t="shared" si="23"/>
        <v>6062277.6700000009</v>
      </c>
      <c r="L86" s="279">
        <f t="shared" si="23"/>
        <v>14494100.950000001</v>
      </c>
      <c r="M86" s="279">
        <f t="shared" si="23"/>
        <v>8665642.040000001</v>
      </c>
      <c r="N86" s="279">
        <f t="shared" si="23"/>
        <v>0</v>
      </c>
      <c r="O86" s="279">
        <f t="shared" si="23"/>
        <v>2909961.16</v>
      </c>
      <c r="P86" s="279">
        <f t="shared" si="23"/>
        <v>11273684.1</v>
      </c>
      <c r="Q86" s="279">
        <f t="shared" si="23"/>
        <v>6901264.8300000001</v>
      </c>
      <c r="R86" s="279">
        <f t="shared" si="23"/>
        <v>0</v>
      </c>
      <c r="S86" s="279">
        <f t="shared" si="23"/>
        <v>4372419.2699999996</v>
      </c>
      <c r="T86" s="35"/>
    </row>
    <row r="87" spans="1:24" s="238" customFormat="1" ht="75" customHeight="1" x14ac:dyDescent="0.25">
      <c r="A87" s="33"/>
      <c r="B87" s="15" t="str">
        <f>'1 lentelė'!$B86</f>
        <v>2.2.1.1.1</v>
      </c>
      <c r="C87" s="15" t="str">
        <f>'1 lentelė'!$C86</f>
        <v>R090014-060700-2201</v>
      </c>
      <c r="D87" s="15" t="str">
        <f>'1 lentelė'!$D86</f>
        <v xml:space="preserve">Vandens tiekimo ir nuotekų tvarkymo infrastruktūros plėtra Ignalinos rajone </v>
      </c>
      <c r="E87" s="15" t="str">
        <f>'1 lentelė'!$E86</f>
        <v>UAB „Ignalinos vanduo“</v>
      </c>
      <c r="F87" s="35" t="s">
        <v>66</v>
      </c>
      <c r="G87" s="35" t="s">
        <v>1090</v>
      </c>
      <c r="H87" s="32">
        <f>'1 lentelė'!$P86</f>
        <v>1392800</v>
      </c>
      <c r="I87" s="32">
        <f>'1 lentelė'!$Q86</f>
        <v>789008.78</v>
      </c>
      <c r="J87" s="32">
        <f>'1 lentelė'!$R86</f>
        <v>0</v>
      </c>
      <c r="K87" s="32">
        <f>'1 lentelė'!$S86</f>
        <v>603791.22</v>
      </c>
      <c r="L87" s="32">
        <v>1392800</v>
      </c>
      <c r="M87" s="32">
        <v>789008.78</v>
      </c>
      <c r="N87" s="32">
        <v>0</v>
      </c>
      <c r="O87" s="32">
        <v>603791.22</v>
      </c>
      <c r="P87" s="32">
        <v>1137879.6399999999</v>
      </c>
      <c r="Q87" s="32">
        <v>647316.30000000005</v>
      </c>
      <c r="R87" s="32"/>
      <c r="S87" s="32">
        <f t="shared" ref="S87:S92" si="24">P87-Q87</f>
        <v>490563.33999999985</v>
      </c>
      <c r="T87" s="32"/>
    </row>
    <row r="88" spans="1:24" s="238" customFormat="1" ht="98.25" customHeight="1" x14ac:dyDescent="0.25">
      <c r="A88" s="33"/>
      <c r="B88" s="15" t="str">
        <f>'1 lentelė'!$B87</f>
        <v>2.2.1.1.2</v>
      </c>
      <c r="C88" s="15" t="str">
        <f>'1 lentelė'!$C87</f>
        <v>R090014-070000-2202</v>
      </c>
      <c r="D88" s="15" t="str">
        <f>'1 lentelė'!$D87</f>
        <v xml:space="preserve">Vandens tiekimo ir nuotekų tvarkymo infrastruktūros plėtra ir rekonstravimas Zarasų rajono savivaldybėje </v>
      </c>
      <c r="E88" s="15" t="str">
        <f>'1 lentelė'!$E87</f>
        <v>UAB „Zarasų vandenys“</v>
      </c>
      <c r="F88" s="35" t="s">
        <v>66</v>
      </c>
      <c r="G88" s="35" t="s">
        <v>1090</v>
      </c>
      <c r="H88" s="32">
        <f>'1 lentelė'!$P87</f>
        <v>1229574.68</v>
      </c>
      <c r="I88" s="32">
        <f>'1 lentelė'!$Q87</f>
        <v>823834.4</v>
      </c>
      <c r="J88" s="32">
        <f>'1 lentelė'!$R87</f>
        <v>0</v>
      </c>
      <c r="K88" s="32">
        <f>'1 lentelė'!$S87</f>
        <v>405740.27999999991</v>
      </c>
      <c r="L88" s="32">
        <v>1229574.6800000002</v>
      </c>
      <c r="M88" s="32">
        <v>823834.4</v>
      </c>
      <c r="N88" s="32">
        <v>0</v>
      </c>
      <c r="O88" s="32">
        <f>77088.76+V88</f>
        <v>77088.759999999995</v>
      </c>
      <c r="P88" s="32">
        <v>1038037.8</v>
      </c>
      <c r="Q88" s="32">
        <v>677523.67</v>
      </c>
      <c r="R88" s="32">
        <v>0</v>
      </c>
      <c r="S88" s="32">
        <f t="shared" si="24"/>
        <v>360514.13</v>
      </c>
      <c r="T88" s="75"/>
    </row>
    <row r="89" spans="1:24" s="238" customFormat="1" ht="51.75" customHeight="1" x14ac:dyDescent="0.25">
      <c r="A89" s="33"/>
      <c r="B89" s="15" t="str">
        <f>'1 lentelė'!$B88</f>
        <v>2.2.1.1.3</v>
      </c>
      <c r="C89" s="15" t="str">
        <f>'1 lentelė'!$C88</f>
        <v>R090014-060000-2203</v>
      </c>
      <c r="D89" s="15" t="str">
        <f>'1 lentelė'!$D88</f>
        <v xml:space="preserve">Vandens tiekimo ir nuotekų tinklų rekonstravimas Visagine </v>
      </c>
      <c r="E89" s="15" t="str">
        <f>'1 lentelė'!$E88</f>
        <v>VĮ „Visagino energija“</v>
      </c>
      <c r="F89" s="35" t="s">
        <v>65</v>
      </c>
      <c r="G89" s="35" t="s">
        <v>880</v>
      </c>
      <c r="H89" s="32">
        <f>'1 lentelė'!$P88</f>
        <v>3744065.92</v>
      </c>
      <c r="I89" s="32">
        <f>'1 lentelė'!$Q88</f>
        <v>1713584.68</v>
      </c>
      <c r="J89" s="32">
        <f>'1 lentelė'!$R88</f>
        <v>0</v>
      </c>
      <c r="K89" s="32">
        <f>'1 lentelė'!$S88</f>
        <v>2030481.24</v>
      </c>
      <c r="L89" s="32">
        <v>3752037.2199999997</v>
      </c>
      <c r="M89" s="32">
        <v>1717232.99</v>
      </c>
      <c r="N89" s="32">
        <v>0</v>
      </c>
      <c r="O89" s="32">
        <f>V89</f>
        <v>0</v>
      </c>
      <c r="P89" s="32">
        <v>3744065.92</v>
      </c>
      <c r="Q89" s="32">
        <v>1713584.68</v>
      </c>
      <c r="R89" s="32">
        <v>0</v>
      </c>
      <c r="S89" s="32">
        <f t="shared" si="24"/>
        <v>2030481.24</v>
      </c>
      <c r="T89" s="32" t="s">
        <v>889</v>
      </c>
    </row>
    <row r="90" spans="1:24" s="33" customFormat="1" ht="111.75" customHeight="1" x14ac:dyDescent="0.25">
      <c r="B90" s="15" t="str">
        <f>'1 lentelė'!$B89</f>
        <v>2.2.1.1.4</v>
      </c>
      <c r="C90" s="15" t="str">
        <f>'1 lentelė'!$C89</f>
        <v>R090014-070600-2204</v>
      </c>
      <c r="D90" s="15" t="str">
        <f>'1 lentelė'!$D89</f>
        <v>Vandens tiekimo ir nuotekų tvarkymo infrastruktūros plėtra ir rekonstrukcija Anykščių r. sav. Kurklių miestelyje</v>
      </c>
      <c r="E90" s="15" t="str">
        <f>'1 lentelė'!$E89</f>
        <v xml:space="preserve">UAB ,,Anykščių vandenys“ </v>
      </c>
      <c r="F90" s="35" t="s">
        <v>66</v>
      </c>
      <c r="G90" s="35" t="s">
        <v>1090</v>
      </c>
      <c r="H90" s="32">
        <f>'1 lentelė'!$P89</f>
        <v>1665450</v>
      </c>
      <c r="I90" s="32">
        <f>'1 lentelė'!$Q89</f>
        <v>1110408</v>
      </c>
      <c r="J90" s="32">
        <f>'1 lentelė'!$R89</f>
        <v>0</v>
      </c>
      <c r="K90" s="32">
        <f>'1 lentelė'!$S89</f>
        <v>555042</v>
      </c>
      <c r="L90" s="32">
        <v>1665450</v>
      </c>
      <c r="M90" s="32">
        <v>1110408</v>
      </c>
      <c r="N90" s="32">
        <v>0</v>
      </c>
      <c r="O90" s="32">
        <f>V90</f>
        <v>0</v>
      </c>
      <c r="P90" s="32">
        <v>1402395.82</v>
      </c>
      <c r="Q90" s="32">
        <v>963665.57</v>
      </c>
      <c r="R90" s="32">
        <v>0</v>
      </c>
      <c r="S90" s="32">
        <f t="shared" si="24"/>
        <v>438730.25000000012</v>
      </c>
      <c r="T90" s="32"/>
      <c r="U90" s="238"/>
      <c r="V90" s="46"/>
      <c r="W90" s="46"/>
      <c r="X90" s="46">
        <f t="shared" ref="X90:X97" si="25">L90-M90-N90-O90</f>
        <v>555042</v>
      </c>
    </row>
    <row r="91" spans="1:24" s="239" customFormat="1" ht="105.75" customHeight="1" x14ac:dyDescent="0.25">
      <c r="A91" s="243"/>
      <c r="B91" s="15" t="str">
        <f>'1 lentelė'!$B90</f>
        <v>2.2.1.1.5</v>
      </c>
      <c r="C91" s="223" t="str">
        <f>'1 lentelė'!$C90</f>
        <v>R090014-070600-2205</v>
      </c>
      <c r="D91" s="223" t="str">
        <f>'1 lentelė'!$D90</f>
        <v xml:space="preserve"> Vandens tiekimo ir nuotekų tvarkymo infrastruktūros plėtra ir rekonstrukcija Molėtų rajone </v>
      </c>
      <c r="E91" s="223" t="str">
        <f>'1 lentelė'!$E90</f>
        <v>UAB ,,Molėtų vanduo"</v>
      </c>
      <c r="F91" s="207" t="s">
        <v>66</v>
      </c>
      <c r="G91" s="207" t="s">
        <v>1090</v>
      </c>
      <c r="H91" s="216">
        <f>'1 lentelė'!$P90</f>
        <v>1226741.69</v>
      </c>
      <c r="I91" s="216">
        <f>'1 lentelė'!$Q90</f>
        <v>824798.84</v>
      </c>
      <c r="J91" s="216">
        <f>'1 lentelė'!$R90</f>
        <v>0</v>
      </c>
      <c r="K91" s="216">
        <f>'1 lentelė'!$S90</f>
        <v>401942.85</v>
      </c>
      <c r="L91" s="216">
        <v>1226741.69</v>
      </c>
      <c r="M91" s="216">
        <v>824798.84</v>
      </c>
      <c r="N91" s="216">
        <v>0</v>
      </c>
      <c r="O91" s="216">
        <f>V91</f>
        <v>401942.85</v>
      </c>
      <c r="P91" s="216">
        <v>1158356.3400000001</v>
      </c>
      <c r="Q91" s="216">
        <v>779659.71</v>
      </c>
      <c r="R91" s="216">
        <v>0</v>
      </c>
      <c r="S91" s="216">
        <f t="shared" si="24"/>
        <v>378696.63000000012</v>
      </c>
      <c r="T91" s="216"/>
      <c r="V91" s="244">
        <v>401942.85</v>
      </c>
      <c r="W91" s="244"/>
      <c r="X91" s="244">
        <f t="shared" si="25"/>
        <v>0</v>
      </c>
    </row>
    <row r="92" spans="1:24" s="238" customFormat="1" ht="81" customHeight="1" x14ac:dyDescent="0.25">
      <c r="A92" s="33"/>
      <c r="B92" s="15" t="str">
        <f>'1 lentelė'!$B91</f>
        <v>2.2.1.1.6</v>
      </c>
      <c r="C92" s="15" t="str">
        <f>'1 lentelė'!$C91</f>
        <v>R090014-075000-2206</v>
      </c>
      <c r="D92" s="15" t="str">
        <f>'1 lentelė'!$D91</f>
        <v>Vandens tiekimo ir nuotekų tvarkymo infrastruktūros plėtra Utenos rajone (Jasonių k.)</v>
      </c>
      <c r="E92" s="15" t="str">
        <f>'1 lentelė'!$E91</f>
        <v>UAB "Utenos vandenys"</v>
      </c>
      <c r="F92" s="35" t="s">
        <v>66</v>
      </c>
      <c r="G92" s="35" t="s">
        <v>1090</v>
      </c>
      <c r="H92" s="32">
        <f>'1 lentelė'!$P91</f>
        <v>2011598.52</v>
      </c>
      <c r="I92" s="32">
        <f>'1 lentelė'!$Q91</f>
        <v>1609278.82</v>
      </c>
      <c r="J92" s="32">
        <f>'1 lentelė'!$R91</f>
        <v>0</v>
      </c>
      <c r="K92" s="32">
        <f>'1 lentelė'!$S91</f>
        <v>402319.69999999995</v>
      </c>
      <c r="L92" s="32">
        <v>2011598.52</v>
      </c>
      <c r="M92" s="32">
        <v>1609278.82</v>
      </c>
      <c r="N92" s="32">
        <v>0</v>
      </c>
      <c r="O92" s="32">
        <f>V92</f>
        <v>402319.7</v>
      </c>
      <c r="P92" s="32">
        <v>2006559.76</v>
      </c>
      <c r="Q92" s="32">
        <v>1605247.81</v>
      </c>
      <c r="R92" s="32">
        <v>0</v>
      </c>
      <c r="S92" s="32">
        <f t="shared" si="24"/>
        <v>401311.94999999995</v>
      </c>
      <c r="T92" s="32"/>
      <c r="V92" s="46">
        <v>402319.7</v>
      </c>
      <c r="W92" s="46"/>
      <c r="X92" s="46">
        <f t="shared" si="25"/>
        <v>0</v>
      </c>
    </row>
    <row r="93" spans="1:24" s="33" customFormat="1" ht="93" customHeight="1" x14ac:dyDescent="0.25">
      <c r="B93" s="15" t="str">
        <f>'1 lentelė'!$B92</f>
        <v>2.2.1.1.7</v>
      </c>
      <c r="C93" s="15" t="str">
        <f>'1 lentelė'!$C92</f>
        <v>R090014-060000-2225</v>
      </c>
      <c r="D93" s="15" t="str">
        <f>'1 lentelė'!$D92</f>
        <v>Vandens tiekimo ir nuotekų tvarkymo infrastruktūros rekonstrukcija ir inventorizacija Ignalinos rajone</v>
      </c>
      <c r="E93" s="15" t="str">
        <f>'1 lentelė'!$E92</f>
        <v>UAB ,,Ignalinos vanduo"</v>
      </c>
      <c r="F93" s="35" t="s">
        <v>66</v>
      </c>
      <c r="G93" s="35" t="s">
        <v>66</v>
      </c>
      <c r="H93" s="32">
        <f>'1 lentelė'!$P92</f>
        <v>407141.75</v>
      </c>
      <c r="I93" s="32">
        <f>'1 lentelė'!$Q92</f>
        <v>169000</v>
      </c>
      <c r="J93" s="32">
        <f>'1 lentelė'!$R92</f>
        <v>0</v>
      </c>
      <c r="K93" s="32">
        <f>'1 lentelė'!$S92</f>
        <v>238141.75</v>
      </c>
      <c r="L93" s="32">
        <v>0</v>
      </c>
      <c r="M93" s="32">
        <v>0</v>
      </c>
      <c r="N93" s="32">
        <v>0</v>
      </c>
      <c r="O93" s="32">
        <v>0</v>
      </c>
      <c r="P93" s="32">
        <v>0</v>
      </c>
      <c r="Q93" s="32">
        <v>0</v>
      </c>
      <c r="R93" s="32">
        <v>0</v>
      </c>
      <c r="S93" s="32">
        <v>0</v>
      </c>
      <c r="T93" s="75"/>
      <c r="V93" s="46">
        <v>0</v>
      </c>
      <c r="W93" s="46"/>
      <c r="X93" s="46">
        <f t="shared" si="25"/>
        <v>0</v>
      </c>
    </row>
    <row r="94" spans="1:24" s="6" customFormat="1" ht="85.5" customHeight="1" x14ac:dyDescent="0.25">
      <c r="B94" s="15" t="str">
        <f>'1 lentelė'!$B93</f>
        <v>2.2.1.1.8</v>
      </c>
      <c r="C94" s="15" t="str">
        <f>'1 lentelė'!$C93</f>
        <v>R090014-075000-2226</v>
      </c>
      <c r="D94" s="15" t="str">
        <f>'1 lentelė'!$D93</f>
        <v>Vandens tiekimo ir nuotekų tvarkymo infrastruktūros plėtra Utenos rajone (Jasonių k. II etapas)</v>
      </c>
      <c r="E94" s="15" t="str">
        <f>'1 lentelė'!$E93</f>
        <v>UAB "Utenos vandenys"</v>
      </c>
      <c r="F94" s="35" t="s">
        <v>66</v>
      </c>
      <c r="G94" s="35" t="s">
        <v>1090</v>
      </c>
      <c r="H94" s="29">
        <f>'1 lentelė'!$P93</f>
        <v>717269.99</v>
      </c>
      <c r="I94" s="29">
        <f>'1 lentelė'!$Q93</f>
        <v>573815.99</v>
      </c>
      <c r="J94" s="29">
        <f>'1 lentelė'!$R93</f>
        <v>0</v>
      </c>
      <c r="K94" s="29">
        <f>'1 lentelė'!$S93</f>
        <v>143454</v>
      </c>
      <c r="L94" s="29">
        <v>717269.99</v>
      </c>
      <c r="M94" s="29">
        <v>573815.99</v>
      </c>
      <c r="N94" s="29">
        <v>0</v>
      </c>
      <c r="O94" s="29">
        <f>L94-M94</f>
        <v>143454</v>
      </c>
      <c r="P94" s="32">
        <v>448041.37</v>
      </c>
      <c r="Q94" s="32">
        <v>358433.09</v>
      </c>
      <c r="R94" s="32">
        <v>0</v>
      </c>
      <c r="S94" s="32">
        <f>P94-Q94</f>
        <v>89608.27999999997</v>
      </c>
      <c r="T94" s="54"/>
      <c r="V94" s="44">
        <v>0</v>
      </c>
      <c r="W94" s="44"/>
      <c r="X94" s="44">
        <f t="shared" si="25"/>
        <v>0</v>
      </c>
    </row>
    <row r="95" spans="1:24" s="238" customFormat="1" ht="102.75" customHeight="1" x14ac:dyDescent="0.25">
      <c r="A95" s="33"/>
      <c r="B95" s="15" t="str">
        <f>'1 lentelė'!$B94</f>
        <v>2.2.1.1.9</v>
      </c>
      <c r="C95" s="15" t="str">
        <f>'1 lentelė'!$C94</f>
        <v>R090014-070000-2227</v>
      </c>
      <c r="D95" s="15" t="str">
        <f>'1 lentelė'!$D94</f>
        <v>Vandentiekio ir nuotekų tinklų Anykščių aglomeracijoje (sodų bendrija ,,Šaltupys" ir Keblonių k.) statybos darbai.</v>
      </c>
      <c r="E95" s="15" t="str">
        <f>'1 lentelė'!$E94</f>
        <v xml:space="preserve">UAB ,,Anykščių vandenys“ </v>
      </c>
      <c r="F95" s="35" t="s">
        <v>66</v>
      </c>
      <c r="G95" s="35" t="s">
        <v>1090</v>
      </c>
      <c r="H95" s="32">
        <f>'1 lentelė'!$P94</f>
        <v>1193327.6499999999</v>
      </c>
      <c r="I95" s="32">
        <f>'1 lentelė'!$Q94</f>
        <v>528530.03</v>
      </c>
      <c r="J95" s="32">
        <f>'1 lentelė'!$R94</f>
        <v>0</v>
      </c>
      <c r="K95" s="32">
        <f>'1 lentelė'!$S94</f>
        <v>664797.61999999988</v>
      </c>
      <c r="L95" s="32">
        <f>M95+N95+O95</f>
        <v>1193327.6499999999</v>
      </c>
      <c r="M95" s="32">
        <v>528530.03</v>
      </c>
      <c r="N95" s="32">
        <v>0</v>
      </c>
      <c r="O95" s="32">
        <v>664797.62</v>
      </c>
      <c r="P95" s="32">
        <v>232087.82</v>
      </c>
      <c r="Q95" s="32">
        <v>102792.71</v>
      </c>
      <c r="R95" s="32">
        <v>0</v>
      </c>
      <c r="S95" s="32">
        <f>P95-Q95</f>
        <v>129295.11</v>
      </c>
      <c r="T95" s="75"/>
      <c r="V95" s="238">
        <v>0</v>
      </c>
      <c r="X95" s="238">
        <f t="shared" si="25"/>
        <v>0</v>
      </c>
    </row>
    <row r="96" spans="1:24" s="239" customFormat="1" ht="116.25" customHeight="1" x14ac:dyDescent="0.25">
      <c r="A96" s="243" t="s">
        <v>220</v>
      </c>
      <c r="B96" s="15" t="str">
        <f>'1 lentelė'!$B95</f>
        <v>2.2.1.1.10</v>
      </c>
      <c r="C96" s="223" t="str">
        <f>'1 lentelė'!$C95</f>
        <v>R090014-070600-2228</v>
      </c>
      <c r="D96" s="223" t="str">
        <f>'1 lentelė'!$D95</f>
        <v>Vandens tiekimo ir nuotekų tvarkymo infrastruktūros plėtra ir rekonstravimas Zarasų rajono savivaldybėje (II etapas)</v>
      </c>
      <c r="E96" s="223" t="str">
        <f>'1 lentelė'!$E95</f>
        <v>UAB „Zarasų vandenys“</v>
      </c>
      <c r="F96" s="207" t="s">
        <v>66</v>
      </c>
      <c r="G96" s="207" t="s">
        <v>1090</v>
      </c>
      <c r="H96" s="216">
        <f>'1 lentelė'!$P95</f>
        <v>677199.48</v>
      </c>
      <c r="I96" s="216">
        <f>'1 lentelė'!$Q95</f>
        <v>375000</v>
      </c>
      <c r="J96" s="216">
        <f>'1 lentelė'!$R95</f>
        <v>0</v>
      </c>
      <c r="K96" s="216">
        <f>'1 lentelė'!$S95</f>
        <v>302199.48</v>
      </c>
      <c r="L96" s="216">
        <v>677199.48</v>
      </c>
      <c r="M96" s="216">
        <v>375000</v>
      </c>
      <c r="N96" s="216">
        <v>0</v>
      </c>
      <c r="O96" s="216">
        <v>302199.48</v>
      </c>
      <c r="P96" s="216">
        <v>50314.96</v>
      </c>
      <c r="Q96" s="216">
        <v>25097.16</v>
      </c>
      <c r="R96" s="216">
        <v>0</v>
      </c>
      <c r="S96" s="216">
        <f>P96-Q96</f>
        <v>25217.8</v>
      </c>
      <c r="T96" s="253"/>
      <c r="V96" s="244">
        <v>30237</v>
      </c>
      <c r="W96" s="244"/>
      <c r="X96" s="244">
        <f t="shared" si="25"/>
        <v>0</v>
      </c>
    </row>
    <row r="97" spans="2:24" s="33" customFormat="1" ht="101.25" customHeight="1" x14ac:dyDescent="0.25">
      <c r="B97" s="15" t="str">
        <f>'1 lentelė'!$B96</f>
        <v>2.2.1.1.11</v>
      </c>
      <c r="C97" s="15" t="str">
        <f>'1 lentelė'!$C96</f>
        <v>R090014-070600-2229</v>
      </c>
      <c r="D97" s="15" t="str">
        <f>'1 lentelė'!$D96</f>
        <v>Vandens tiekimo ir nuotekų tvarkymo infrastruktūros plėtra ir rekonstrukcija Molėtų rajone (II etapas)</v>
      </c>
      <c r="E97" s="15" t="str">
        <f>'1 lentelė'!$E96</f>
        <v>UAB ,,Molėtų vanduo"</v>
      </c>
      <c r="F97" s="35" t="s">
        <v>66</v>
      </c>
      <c r="G97" s="35" t="s">
        <v>1090</v>
      </c>
      <c r="H97" s="32">
        <f>'1 lentelė'!$P96</f>
        <v>628101.72</v>
      </c>
      <c r="I97" s="32">
        <f>'1 lentelė'!$Q96</f>
        <v>313734.19</v>
      </c>
      <c r="J97" s="32">
        <f>'1 lentelė'!$R96</f>
        <v>0</v>
      </c>
      <c r="K97" s="32">
        <f>'1 lentelė'!$S96</f>
        <v>314367.52999999997</v>
      </c>
      <c r="L97" s="32">
        <f>M97+N97+O97</f>
        <v>628101.72</v>
      </c>
      <c r="M97" s="32">
        <v>313734.19</v>
      </c>
      <c r="N97" s="32">
        <v>0</v>
      </c>
      <c r="O97" s="32">
        <v>314367.53000000003</v>
      </c>
      <c r="P97" s="32">
        <v>55944.67</v>
      </c>
      <c r="Q97" s="32">
        <v>27944.13</v>
      </c>
      <c r="R97" s="32">
        <v>0</v>
      </c>
      <c r="S97" s="32">
        <f>P97-Q97</f>
        <v>28000.539999999997</v>
      </c>
      <c r="T97" s="75"/>
      <c r="V97" s="46">
        <v>0</v>
      </c>
      <c r="W97" s="46"/>
      <c r="X97" s="46">
        <f t="shared" si="25"/>
        <v>0</v>
      </c>
    </row>
    <row r="98" spans="2:24" s="6" customFormat="1" ht="72" customHeight="1" x14ac:dyDescent="0.25">
      <c r="B98" s="50" t="str">
        <f>'1 lentelė'!$B97</f>
        <v>2.2.1.2</v>
      </c>
      <c r="C98" s="248" t="s">
        <v>358</v>
      </c>
      <c r="D98" s="90" t="str">
        <f>'1 lentelė'!$D97</f>
        <v>Priemonė: Paviršinių nuotekų sistemų tvarkymas</v>
      </c>
      <c r="E98" s="50"/>
      <c r="F98" s="50"/>
      <c r="G98" s="50"/>
      <c r="H98" s="279">
        <f>SUM(H99:H100)</f>
        <v>2053631.87</v>
      </c>
      <c r="I98" s="279">
        <f t="shared" ref="I98:S98" si="26">SUM(I99:I100)</f>
        <v>1745587.0899999999</v>
      </c>
      <c r="J98" s="279">
        <f t="shared" si="26"/>
        <v>0</v>
      </c>
      <c r="K98" s="279">
        <f t="shared" si="26"/>
        <v>308044.78000000003</v>
      </c>
      <c r="L98" s="279">
        <f t="shared" si="26"/>
        <v>2053631.8699999999</v>
      </c>
      <c r="M98" s="279">
        <f t="shared" si="26"/>
        <v>1745587.0899999999</v>
      </c>
      <c r="N98" s="279">
        <f t="shared" si="26"/>
        <v>0</v>
      </c>
      <c r="O98" s="279">
        <f t="shared" si="26"/>
        <v>308044.78000000003</v>
      </c>
      <c r="P98" s="279">
        <f t="shared" si="26"/>
        <v>1421284.2399999998</v>
      </c>
      <c r="Q98" s="279">
        <f t="shared" si="26"/>
        <v>1208091.6099999999</v>
      </c>
      <c r="R98" s="279">
        <f t="shared" si="26"/>
        <v>0</v>
      </c>
      <c r="S98" s="279">
        <f t="shared" si="26"/>
        <v>213192.62999999992</v>
      </c>
      <c r="T98" s="35"/>
    </row>
    <row r="99" spans="2:24" s="33" customFormat="1" ht="99.75" customHeight="1" x14ac:dyDescent="0.25">
      <c r="B99" s="15" t="str">
        <f>'1 lentelė'!$B98</f>
        <v>2.2.1.2.1</v>
      </c>
      <c r="C99" s="15" t="str">
        <f>'1 lentelė'!$C98</f>
        <v>R090007-080000-2207</v>
      </c>
      <c r="D99" s="15" t="str">
        <f>'1 lentelė'!$D98</f>
        <v>Paviršinių nuotekų tinklų ir jiems priklausančios infrastruktūros rekonstrukcija ir plėtra Utenos mieste</v>
      </c>
      <c r="E99" s="15" t="str">
        <f>'1 lentelė'!$E98</f>
        <v>UAB „Utenos komunalininkas“</v>
      </c>
      <c r="F99" s="35" t="s">
        <v>66</v>
      </c>
      <c r="G99" s="35" t="s">
        <v>1090</v>
      </c>
      <c r="H99" s="32">
        <f>'1 lentelė'!$P98</f>
        <v>1018412.87</v>
      </c>
      <c r="I99" s="32">
        <f>'1 lentelė'!$Q98</f>
        <v>865650.94</v>
      </c>
      <c r="J99" s="32">
        <f>'1 lentelė'!$R98</f>
        <v>0</v>
      </c>
      <c r="K99" s="32">
        <f>'1 lentelė'!$S98</f>
        <v>152761.93000000005</v>
      </c>
      <c r="L99" s="32">
        <v>1018412.8699999999</v>
      </c>
      <c r="M99" s="32">
        <v>865650.94</v>
      </c>
      <c r="N99" s="32">
        <v>0</v>
      </c>
      <c r="O99" s="32">
        <f>V99</f>
        <v>152761.93</v>
      </c>
      <c r="P99" s="32">
        <v>789861.96</v>
      </c>
      <c r="Q99" s="32">
        <v>671382.67</v>
      </c>
      <c r="R99" s="32">
        <v>0</v>
      </c>
      <c r="S99" s="32">
        <f>P99-Q99</f>
        <v>118479.28999999992</v>
      </c>
      <c r="T99" s="75"/>
      <c r="V99" s="46">
        <v>152761.93</v>
      </c>
      <c r="W99" s="46" t="s">
        <v>888</v>
      </c>
      <c r="X99" s="46">
        <f>L99-M99-N99-O99</f>
        <v>0</v>
      </c>
    </row>
    <row r="100" spans="2:24" s="33" customFormat="1" ht="121.5" customHeight="1" x14ac:dyDescent="0.25">
      <c r="B100" s="15" t="str">
        <f>'1 lentelė'!$B99</f>
        <v>2.2.1.2.2</v>
      </c>
      <c r="C100" s="15" t="str">
        <f>'1 lentelė'!$C99</f>
        <v>R090007-080000-2208</v>
      </c>
      <c r="D100" s="15" t="str">
        <f>'1 lentelė'!$D99</f>
        <v>Inžinerinių paviršinių nuotekų surinkimo ir šalinimo tinklų rekonstravimas Visagino g. atkarpoje nuo Parko iki Vilties g.</v>
      </c>
      <c r="E100" s="15" t="str">
        <f>'1 lentelė'!$E99</f>
        <v xml:space="preserve">UAB „Visagino būstas“, partneris Visagino savivaldybės administracija </v>
      </c>
      <c r="F100" s="35" t="s">
        <v>65</v>
      </c>
      <c r="G100" s="35" t="s">
        <v>1090</v>
      </c>
      <c r="H100" s="32">
        <f>'1 lentelė'!$P99</f>
        <v>1035219</v>
      </c>
      <c r="I100" s="32">
        <f>'1 lentelė'!$Q99</f>
        <v>879936.15</v>
      </c>
      <c r="J100" s="32">
        <f>'1 lentelė'!$R99</f>
        <v>0</v>
      </c>
      <c r="K100" s="32">
        <f>'1 lentelė'!$S99</f>
        <v>155282.84999999998</v>
      </c>
      <c r="L100" s="32">
        <v>1035219</v>
      </c>
      <c r="M100" s="32">
        <v>879936.15</v>
      </c>
      <c r="N100" s="32">
        <v>0</v>
      </c>
      <c r="O100" s="32">
        <v>155282.85</v>
      </c>
      <c r="P100" s="32">
        <f>Q100+R100+S100</f>
        <v>631422.27999999991</v>
      </c>
      <c r="Q100" s="32">
        <v>536708.93999999994</v>
      </c>
      <c r="R100" s="32">
        <v>0</v>
      </c>
      <c r="S100" s="32">
        <v>94713.34</v>
      </c>
      <c r="T100" s="32"/>
      <c r="V100" s="46">
        <v>0</v>
      </c>
      <c r="W100" s="46"/>
      <c r="X100" s="46">
        <f>L100-M100-N100-O100</f>
        <v>0</v>
      </c>
    </row>
    <row r="101" spans="2:24" s="6" customFormat="1" ht="69" customHeight="1" x14ac:dyDescent="0.25">
      <c r="B101" s="50" t="str">
        <f>'1 lentelė'!$B100</f>
        <v>2.2.1.3</v>
      </c>
      <c r="C101" s="248" t="s">
        <v>369</v>
      </c>
      <c r="D101" s="90" t="str">
        <f>'1 lentelė'!$D100</f>
        <v>Priemonė: Komunalinių atliekų tvarkymo infrastruktūros plėtra</v>
      </c>
      <c r="E101" s="50"/>
      <c r="F101" s="50"/>
      <c r="G101" s="50"/>
      <c r="H101" s="279">
        <f>SUM(H102:H107)</f>
        <v>3251580.6900000004</v>
      </c>
      <c r="I101" s="279">
        <f t="shared" ref="I101:S101" si="27">SUM(I102:I107)</f>
        <v>2741982.62</v>
      </c>
      <c r="J101" s="279">
        <f t="shared" si="27"/>
        <v>0</v>
      </c>
      <c r="K101" s="279">
        <f t="shared" si="27"/>
        <v>509598.06999999983</v>
      </c>
      <c r="L101" s="279">
        <f t="shared" si="27"/>
        <v>3279662.01</v>
      </c>
      <c r="M101" s="279">
        <f t="shared" si="27"/>
        <v>2765851.7399999998</v>
      </c>
      <c r="N101" s="279">
        <f t="shared" si="27"/>
        <v>0</v>
      </c>
      <c r="O101" s="279">
        <f t="shared" si="27"/>
        <v>513810.27</v>
      </c>
      <c r="P101" s="279">
        <f t="shared" si="27"/>
        <v>2905938.77</v>
      </c>
      <c r="Q101" s="279">
        <f t="shared" si="27"/>
        <v>2482666.63</v>
      </c>
      <c r="R101" s="279">
        <f t="shared" si="27"/>
        <v>0</v>
      </c>
      <c r="S101" s="279">
        <f t="shared" si="27"/>
        <v>423272.1399999999</v>
      </c>
      <c r="T101" s="35"/>
    </row>
    <row r="102" spans="2:24" s="6" customFormat="1" ht="63.75" customHeight="1" x14ac:dyDescent="0.25">
      <c r="B102" s="15" t="str">
        <f>'1 lentelė'!$B101</f>
        <v>2.2.1.3.1</v>
      </c>
      <c r="C102" s="15" t="str">
        <f>'1 lentelė'!$C101</f>
        <v>R090008-050000-2209</v>
      </c>
      <c r="D102" s="15" t="str">
        <f>'1 lentelė'!$D101</f>
        <v>Komunalinių atliekų tvarkymo infrastruktūros plėtra Visagino savivaldybėje</v>
      </c>
      <c r="E102" s="15" t="str">
        <f>'1 lentelė'!$E101</f>
        <v>Visagino savivaldybės administracija</v>
      </c>
      <c r="F102" s="35" t="s">
        <v>66</v>
      </c>
      <c r="G102" s="35" t="s">
        <v>1090</v>
      </c>
      <c r="H102" s="29">
        <f>'1 lentelė'!P101</f>
        <v>519466.19</v>
      </c>
      <c r="I102" s="29">
        <f>'1 lentelė'!Q101</f>
        <v>441546.19</v>
      </c>
      <c r="J102" s="29">
        <f>'1 lentelė'!R101</f>
        <v>0</v>
      </c>
      <c r="K102" s="29">
        <f>'1 lentelė'!S101</f>
        <v>77920</v>
      </c>
      <c r="L102" s="29">
        <v>519466.19</v>
      </c>
      <c r="M102" s="29">
        <v>441546.19</v>
      </c>
      <c r="N102" s="29">
        <v>0</v>
      </c>
      <c r="O102" s="29">
        <v>77920</v>
      </c>
      <c r="P102" s="29">
        <v>508617.03</v>
      </c>
      <c r="Q102" s="29">
        <v>430697.03</v>
      </c>
      <c r="R102" s="29">
        <v>0</v>
      </c>
      <c r="S102" s="29">
        <f t="shared" ref="S102:S107" si="28">P102-Q102</f>
        <v>77920</v>
      </c>
      <c r="T102" s="29"/>
      <c r="V102" s="44">
        <v>0</v>
      </c>
      <c r="W102" s="44" t="s">
        <v>888</v>
      </c>
      <c r="X102" s="44">
        <f>L102-M102-N102-O102</f>
        <v>0</v>
      </c>
    </row>
    <row r="103" spans="2:24" s="33" customFormat="1" ht="141" customHeight="1" x14ac:dyDescent="0.25">
      <c r="B103" s="15" t="str">
        <f>'1 lentelė'!$B102</f>
        <v>2.2.1.3.2</v>
      </c>
      <c r="C103" s="15" t="str">
        <f>'1 lentelė'!$C102</f>
        <v>R090008-050000-2210</v>
      </c>
      <c r="D103" s="15" t="str">
        <f>'1 lentelė'!$D102</f>
        <v>Konteinerinių aikštelių įrengimas ( rekonstrukcija) Ignalinos r. savivaldybėje ir atliekų surinkimo konteinerių konteinerinėms aikštelėms įsigijimas</v>
      </c>
      <c r="E103" s="15" t="str">
        <f>'1 lentelė'!$E102</f>
        <v>Ignalinos rajono savivaldybės administracija, partneris – UAB Utenos regiono atliekų tvarkymo centras</v>
      </c>
      <c r="F103" s="35" t="s">
        <v>66</v>
      </c>
      <c r="G103" s="35" t="s">
        <v>1090</v>
      </c>
      <c r="H103" s="32">
        <f>'1 lentelė'!$P102</f>
        <v>400317.65</v>
      </c>
      <c r="I103" s="32">
        <f>'1 lentelė'!$Q102</f>
        <v>340270</v>
      </c>
      <c r="J103" s="32">
        <f>'1 lentelė'!$R102</f>
        <v>0</v>
      </c>
      <c r="K103" s="32">
        <f>'1 lentelė'!$S102</f>
        <v>60047.650000000023</v>
      </c>
      <c r="L103" s="32">
        <v>400317.65</v>
      </c>
      <c r="M103" s="32">
        <v>340270</v>
      </c>
      <c r="N103" s="32">
        <v>0</v>
      </c>
      <c r="O103" s="32">
        <v>60047.65</v>
      </c>
      <c r="P103" s="32">
        <v>302724.52</v>
      </c>
      <c r="Q103" s="32">
        <v>271630.84000000003</v>
      </c>
      <c r="R103" s="32">
        <v>0</v>
      </c>
      <c r="S103" s="32">
        <f t="shared" si="28"/>
        <v>31093.679999999993</v>
      </c>
      <c r="T103" s="75"/>
      <c r="V103" s="46">
        <v>0</v>
      </c>
      <c r="W103" s="46"/>
      <c r="X103" s="46">
        <f t="shared" ref="X103:X107" si="29">L103-M103-N103-O103</f>
        <v>0</v>
      </c>
    </row>
    <row r="104" spans="2:24" s="33" customFormat="1" ht="81" customHeight="1" x14ac:dyDescent="0.25">
      <c r="B104" s="15" t="str">
        <f>'1 lentelė'!$B103</f>
        <v>2.2.1.3.3</v>
      </c>
      <c r="C104" s="15" t="str">
        <f>'1 lentelė'!$C103</f>
        <v>R090008-050000-2211</v>
      </c>
      <c r="D104" s="15" t="str">
        <f>'1 lentelė'!$D103</f>
        <v>Komunalinių atliekų tvarkymo infrastruktūros plėtra Anykščių rajono savivaldybėje</v>
      </c>
      <c r="E104" s="15" t="str">
        <f>'1 lentelė'!$E103</f>
        <v>Anykščių rajono savivaldybės administracija, partneris – UAB Utenos regiono atliekų tvarkymo centras</v>
      </c>
      <c r="F104" s="35" t="s">
        <v>66</v>
      </c>
      <c r="G104" s="35" t="s">
        <v>880</v>
      </c>
      <c r="H104" s="32">
        <f>'1 lentelė'!$P103</f>
        <v>579324.81999999995</v>
      </c>
      <c r="I104" s="32">
        <f>'1 lentelė'!$Q103</f>
        <v>492426.09</v>
      </c>
      <c r="J104" s="32">
        <f>'1 lentelė'!$R103</f>
        <v>0</v>
      </c>
      <c r="K104" s="32">
        <f>'1 lentelė'!$S103</f>
        <v>86898.729999999923</v>
      </c>
      <c r="L104" s="32">
        <v>607406.14</v>
      </c>
      <c r="M104" s="32">
        <v>516295.21</v>
      </c>
      <c r="N104" s="32">
        <v>0</v>
      </c>
      <c r="O104" s="32">
        <v>91110.93</v>
      </c>
      <c r="P104" s="32">
        <v>579324.81999999995</v>
      </c>
      <c r="Q104" s="32">
        <v>492426.09</v>
      </c>
      <c r="R104" s="32">
        <v>0</v>
      </c>
      <c r="S104" s="32">
        <f t="shared" si="28"/>
        <v>86898.729999999923</v>
      </c>
      <c r="T104" s="32" t="s">
        <v>1230</v>
      </c>
      <c r="V104" s="46">
        <v>0</v>
      </c>
      <c r="W104" s="46"/>
      <c r="X104" s="46">
        <f t="shared" si="29"/>
        <v>0</v>
      </c>
    </row>
    <row r="105" spans="2:24" s="33" customFormat="1" ht="66.75" customHeight="1" x14ac:dyDescent="0.25">
      <c r="B105" s="15" t="str">
        <f>'1 lentelė'!$B104</f>
        <v>2.2.1.3.4</v>
      </c>
      <c r="C105" s="15" t="str">
        <f>'1 lentelė'!$C104</f>
        <v>R090008-050000-2212</v>
      </c>
      <c r="D105" s="15" t="str">
        <f>'1 lentelė'!$D104</f>
        <v>Molėtų rajono komunalinių atliekų tvarkymo infrastruktūros plėtra</v>
      </c>
      <c r="E105" s="15" t="str">
        <f>'1 lentelė'!$E104</f>
        <v>Molėtų rajono savivaldybės administracija, partneris – UAB Utenos regiono atliekų tvarkymo centras</v>
      </c>
      <c r="F105" s="35" t="s">
        <v>66</v>
      </c>
      <c r="G105" s="35" t="s">
        <v>880</v>
      </c>
      <c r="H105" s="32">
        <f>'1 lentelė'!$P104</f>
        <v>566036.31999999995</v>
      </c>
      <c r="I105" s="32">
        <f>'1 lentelė'!$Q104</f>
        <v>459270</v>
      </c>
      <c r="J105" s="32">
        <f>'1 lentelė'!$R104</f>
        <v>0</v>
      </c>
      <c r="K105" s="32">
        <f>'1 lentelė'!$S104</f>
        <v>106766.31999999995</v>
      </c>
      <c r="L105" s="32">
        <v>566036.32000000007</v>
      </c>
      <c r="M105" s="32">
        <v>459270</v>
      </c>
      <c r="N105" s="32">
        <v>0</v>
      </c>
      <c r="O105" s="32">
        <v>106766.32</v>
      </c>
      <c r="P105" s="32">
        <v>566036.31999999995</v>
      </c>
      <c r="Q105" s="32">
        <v>459270</v>
      </c>
      <c r="R105" s="32">
        <v>0</v>
      </c>
      <c r="S105" s="32">
        <f t="shared" si="28"/>
        <v>106766.31999999995</v>
      </c>
      <c r="T105" s="32" t="s">
        <v>1194</v>
      </c>
      <c r="V105" s="46">
        <v>0</v>
      </c>
      <c r="W105" s="46"/>
      <c r="X105" s="46">
        <f t="shared" si="29"/>
        <v>0</v>
      </c>
    </row>
    <row r="106" spans="2:24" s="33" customFormat="1" ht="64.5" customHeight="1" x14ac:dyDescent="0.25">
      <c r="B106" s="15" t="str">
        <f>'1 lentelė'!$B105</f>
        <v>2.2.1.3.5</v>
      </c>
      <c r="C106" s="15" t="str">
        <f>'1 lentelė'!$C105</f>
        <v>R090008-050000-2213</v>
      </c>
      <c r="D106" s="15" t="str">
        <f>'1 lentelė'!$D105</f>
        <v>Komunalinių atliekų tvarkymo infrastruktūros plėtra Zarasų rajone</v>
      </c>
      <c r="E106" s="15" t="str">
        <f>'1 lentelė'!$E105</f>
        <v>Zarasų rajono savivaldybės administracija, partneris – UAB Utenos regiono atliekų tvarkymo centras</v>
      </c>
      <c r="F106" s="35" t="s">
        <v>66</v>
      </c>
      <c r="G106" s="35" t="s">
        <v>1090</v>
      </c>
      <c r="H106" s="32">
        <f>'1 lentelė'!$P105</f>
        <v>569725.67999999993</v>
      </c>
      <c r="I106" s="32">
        <f>'1 lentelė'!$Q105</f>
        <v>484266.82</v>
      </c>
      <c r="J106" s="32">
        <f>'1 lentelė'!$R105</f>
        <v>0</v>
      </c>
      <c r="K106" s="32">
        <f>'1 lentelė'!$S105</f>
        <v>85458.859999999928</v>
      </c>
      <c r="L106" s="32">
        <v>569725.68000000005</v>
      </c>
      <c r="M106" s="32">
        <v>484266.82</v>
      </c>
      <c r="N106" s="32">
        <v>0</v>
      </c>
      <c r="O106" s="32">
        <f>76594.85+V106</f>
        <v>85458.86</v>
      </c>
      <c r="P106" s="286">
        <v>451790.18</v>
      </c>
      <c r="Q106" s="286">
        <v>405813.66</v>
      </c>
      <c r="R106" s="286"/>
      <c r="S106" s="286">
        <f t="shared" si="28"/>
        <v>45976.520000000019</v>
      </c>
      <c r="T106" s="32"/>
      <c r="V106" s="46">
        <v>8864.01</v>
      </c>
      <c r="W106" s="46"/>
      <c r="X106" s="46">
        <f t="shared" si="29"/>
        <v>0</v>
      </c>
    </row>
    <row r="107" spans="2:24" s="33" customFormat="1" ht="65.25" customHeight="1" x14ac:dyDescent="0.25">
      <c r="B107" s="15" t="str">
        <f>'1 lentelė'!$B106</f>
        <v>2.2.1.3.6</v>
      </c>
      <c r="C107" s="15" t="str">
        <f>'1 lentelė'!$C106</f>
        <v>R090008-050000-2214</v>
      </c>
      <c r="D107" s="15" t="str">
        <f>'1 lentelė'!$D106</f>
        <v>Komunalinių atliekų tvarkymo infrastruktūros plėtra Utenos rajone</v>
      </c>
      <c r="E107" s="15" t="str">
        <f>'1 lentelė'!$E106</f>
        <v>Utenos rajono savivaldybės administracija</v>
      </c>
      <c r="F107" s="35" t="s">
        <v>66</v>
      </c>
      <c r="G107" s="35" t="s">
        <v>1090</v>
      </c>
      <c r="H107" s="32">
        <f>'1 lentelė'!$P106</f>
        <v>616710.03</v>
      </c>
      <c r="I107" s="32">
        <f>'1 lentelė'!$Q106</f>
        <v>524203.52000000002</v>
      </c>
      <c r="J107" s="32">
        <f>'1 lentelė'!$R106</f>
        <v>0</v>
      </c>
      <c r="K107" s="32">
        <f>'1 lentelė'!$S106</f>
        <v>92506.510000000009</v>
      </c>
      <c r="L107" s="32">
        <v>616710.03</v>
      </c>
      <c r="M107" s="32">
        <v>524203.52000000002</v>
      </c>
      <c r="N107" s="32">
        <v>0</v>
      </c>
      <c r="O107" s="32">
        <v>92506.51</v>
      </c>
      <c r="P107" s="286">
        <v>497445.9</v>
      </c>
      <c r="Q107" s="286">
        <v>422829.01</v>
      </c>
      <c r="R107" s="286"/>
      <c r="S107" s="286">
        <f t="shared" si="28"/>
        <v>74616.890000000014</v>
      </c>
      <c r="T107" s="75"/>
      <c r="V107" s="46">
        <v>0</v>
      </c>
      <c r="W107" s="46"/>
      <c r="X107" s="46">
        <f t="shared" si="29"/>
        <v>0</v>
      </c>
    </row>
    <row r="108" spans="2:24" s="6" customFormat="1" ht="43.5" customHeight="1" x14ac:dyDescent="0.25">
      <c r="B108" s="50" t="str">
        <f>'1 lentelė'!$B108</f>
        <v>2.2.2.1</v>
      </c>
      <c r="C108" s="248" t="s">
        <v>396</v>
      </c>
      <c r="D108" s="90" t="str">
        <f>'1 lentelė'!$D108</f>
        <v>Priemonė: Kraštovaizdžio apsauga</v>
      </c>
      <c r="E108" s="50"/>
      <c r="F108" s="50"/>
      <c r="G108" s="50"/>
      <c r="H108" s="279">
        <f>SUM(H109:H120)</f>
        <v>3765702.2700000005</v>
      </c>
      <c r="I108" s="279">
        <f t="shared" ref="I108:K108" si="30">SUM(I109:I120)</f>
        <v>2977110.9800000004</v>
      </c>
      <c r="J108" s="279">
        <f t="shared" si="30"/>
        <v>0</v>
      </c>
      <c r="K108" s="279">
        <f t="shared" si="30"/>
        <v>788591.29</v>
      </c>
      <c r="L108" s="279">
        <f>SUM(L109:L120)</f>
        <v>3135234.2000000007</v>
      </c>
      <c r="M108" s="279">
        <f t="shared" ref="M108:S108" si="31">SUM(M109:M120)</f>
        <v>2459099.0900000008</v>
      </c>
      <c r="N108" s="279">
        <f t="shared" si="31"/>
        <v>0</v>
      </c>
      <c r="O108" s="279">
        <f t="shared" si="31"/>
        <v>676135.11</v>
      </c>
      <c r="P108" s="279">
        <f t="shared" si="31"/>
        <v>1344568</v>
      </c>
      <c r="Q108" s="279">
        <f t="shared" si="31"/>
        <v>1170481.45</v>
      </c>
      <c r="R108" s="279">
        <f t="shared" si="31"/>
        <v>0</v>
      </c>
      <c r="S108" s="279">
        <f t="shared" si="31"/>
        <v>174086.55</v>
      </c>
      <c r="T108" s="35"/>
    </row>
    <row r="109" spans="2:24" s="33" customFormat="1" ht="54" customHeight="1" x14ac:dyDescent="0.25">
      <c r="B109" s="15" t="str">
        <f>'1 lentelė'!$B109</f>
        <v>2.2.2.1.1</v>
      </c>
      <c r="C109" s="15" t="str">
        <f>'1 lentelė'!$C109</f>
        <v>R090019-380000-2215</v>
      </c>
      <c r="D109" s="15" t="str">
        <f>'1 lentelė'!$D109</f>
        <v>Zarasų rajono savivaldybės bendrųjų planų koregavimas</v>
      </c>
      <c r="E109" s="15" t="str">
        <f>'1 lentelė'!$E109</f>
        <v>Zarasų rajono savivaldybės administracija</v>
      </c>
      <c r="F109" s="35" t="s">
        <v>66</v>
      </c>
      <c r="G109" s="35" t="s">
        <v>1090</v>
      </c>
      <c r="H109" s="29">
        <f>'1 lentelė'!$P109</f>
        <v>35385</v>
      </c>
      <c r="I109" s="29">
        <f>'1 lentelė'!$Q109</f>
        <v>30077.200000000001</v>
      </c>
      <c r="J109" s="29">
        <f>'1 lentelė'!$R109</f>
        <v>0</v>
      </c>
      <c r="K109" s="29">
        <f>'1 lentelė'!$S109</f>
        <v>5307.7999999999993</v>
      </c>
      <c r="L109" s="29">
        <v>35385</v>
      </c>
      <c r="M109" s="29">
        <v>30077.200000000001</v>
      </c>
      <c r="N109" s="29">
        <v>0</v>
      </c>
      <c r="O109" s="29">
        <v>5307.8</v>
      </c>
      <c r="P109" s="29">
        <v>0</v>
      </c>
      <c r="Q109" s="29">
        <v>0</v>
      </c>
      <c r="R109" s="29">
        <v>0</v>
      </c>
      <c r="S109" s="29">
        <v>0</v>
      </c>
      <c r="T109" s="54"/>
      <c r="V109" s="46">
        <f>L109-M109-N109-O109</f>
        <v>0</v>
      </c>
    </row>
    <row r="110" spans="2:24" s="33" customFormat="1" ht="99" customHeight="1" x14ac:dyDescent="0.25">
      <c r="B110" s="15" t="str">
        <f>'1 lentelė'!$B110</f>
        <v>2.2.2.1.2</v>
      </c>
      <c r="C110" s="15" t="str">
        <f>'1 lentelė'!$C110</f>
        <v>R090019-380000-2216</v>
      </c>
      <c r="D110" s="15" t="str">
        <f>'1 lentelė'!$D110</f>
        <v>Bešeimininkių apleistų, kraštovaizdį darkančių statinių likvidavimas Molėtų rajono savivaldybėje</v>
      </c>
      <c r="E110" s="15" t="str">
        <f>'1 lentelė'!$E110</f>
        <v>Molėtų rajono savivaldybės administracija</v>
      </c>
      <c r="F110" s="35" t="s">
        <v>66</v>
      </c>
      <c r="G110" s="35" t="s">
        <v>1090</v>
      </c>
      <c r="H110" s="29">
        <f>'1 lentelė'!$P110</f>
        <v>390386.31</v>
      </c>
      <c r="I110" s="29">
        <f>'1 lentelė'!$Q110</f>
        <v>325725</v>
      </c>
      <c r="J110" s="29">
        <f>'1 lentelė'!$R110</f>
        <v>0</v>
      </c>
      <c r="K110" s="29">
        <f>'1 lentelė'!$S110</f>
        <v>64661.31</v>
      </c>
      <c r="L110" s="32">
        <v>390386.31</v>
      </c>
      <c r="M110" s="32">
        <v>325725</v>
      </c>
      <c r="N110" s="32">
        <v>0</v>
      </c>
      <c r="O110" s="32">
        <f>L110-M110</f>
        <v>64661.31</v>
      </c>
      <c r="P110" s="32">
        <v>375710.19</v>
      </c>
      <c r="Q110" s="32">
        <v>311048.88</v>
      </c>
      <c r="R110" s="32">
        <v>0</v>
      </c>
      <c r="S110" s="32">
        <f>P110-Q110</f>
        <v>64661.31</v>
      </c>
      <c r="T110" s="32"/>
      <c r="V110" s="46">
        <f t="shared" ref="V110:V118" si="32">L110-M110-N110-O110</f>
        <v>0</v>
      </c>
    </row>
    <row r="111" spans="2:24" s="33" customFormat="1" ht="63.75" customHeight="1" x14ac:dyDescent="0.25">
      <c r="B111" s="15" t="str">
        <f>'1 lentelė'!$B111</f>
        <v>2.2.2.1.3</v>
      </c>
      <c r="C111" s="15" t="str">
        <f>'1 lentelė'!$C111</f>
        <v>R090019-380000-2217</v>
      </c>
      <c r="D111" s="15" t="str">
        <f>'1 lentelė'!$D111</f>
        <v>Kraštovaizdžio formavimas ir ekologinės būklės gerinimas Zarasų rajone</v>
      </c>
      <c r="E111" s="15" t="str">
        <f>'1 lentelė'!$E111</f>
        <v>Zarasų rajono savivaldybės administracija</v>
      </c>
      <c r="F111" s="35" t="s">
        <v>66</v>
      </c>
      <c r="G111" s="35" t="s">
        <v>1090</v>
      </c>
      <c r="H111" s="32">
        <f>'1 lentelė'!$P111</f>
        <v>644100</v>
      </c>
      <c r="I111" s="32">
        <f>'1 lentelė'!$Q111</f>
        <v>547485</v>
      </c>
      <c r="J111" s="32">
        <f>'1 lentelė'!$R111</f>
        <v>0</v>
      </c>
      <c r="K111" s="32">
        <f>'1 lentelė'!$S111</f>
        <v>96615</v>
      </c>
      <c r="L111" s="32">
        <v>644100</v>
      </c>
      <c r="M111" s="32">
        <v>547485</v>
      </c>
      <c r="N111" s="32">
        <v>0</v>
      </c>
      <c r="O111" s="32">
        <v>96615</v>
      </c>
      <c r="P111" s="32">
        <f>Q111+R111+S111</f>
        <v>182189.51</v>
      </c>
      <c r="Q111" s="32">
        <v>177098</v>
      </c>
      <c r="R111" s="32">
        <v>0</v>
      </c>
      <c r="S111" s="32">
        <v>5091.51</v>
      </c>
      <c r="T111" s="32"/>
      <c r="V111" s="46">
        <f t="shared" si="32"/>
        <v>0</v>
      </c>
    </row>
    <row r="112" spans="2:24" s="33" customFormat="1" ht="75" customHeight="1" x14ac:dyDescent="0.25">
      <c r="B112" s="15" t="str">
        <f>'1 lentelė'!$B112</f>
        <v>2.2.2.1.4</v>
      </c>
      <c r="C112" s="15" t="str">
        <f>'1 lentelė'!$C112</f>
        <v>R090019-380000-2218</v>
      </c>
      <c r="D112" s="15" t="str">
        <f>'1 lentelė'!$D112</f>
        <v>Želdynų teritorijos formavimas ir kraštovaizdžio būklės gerinimas Utenos mieste</v>
      </c>
      <c r="E112" s="15" t="str">
        <f>'1 lentelė'!$E112</f>
        <v>Utenos rajono savivaldybės administracija</v>
      </c>
      <c r="F112" s="35" t="s">
        <v>66</v>
      </c>
      <c r="G112" s="35" t="s">
        <v>1090</v>
      </c>
      <c r="H112" s="32">
        <f>'1 lentelė'!$P112</f>
        <v>811154.46</v>
      </c>
      <c r="I112" s="32">
        <f>'1 lentelė'!$Q112</f>
        <v>502660.84</v>
      </c>
      <c r="J112" s="32">
        <f>'1 lentelė'!$R112</f>
        <v>0</v>
      </c>
      <c r="K112" s="32">
        <f>'1 lentelė'!$S112</f>
        <v>308493.61999999994</v>
      </c>
      <c r="L112" s="32">
        <v>811154.46</v>
      </c>
      <c r="M112" s="32">
        <v>502660.84</v>
      </c>
      <c r="N112" s="32">
        <v>0</v>
      </c>
      <c r="O112" s="32">
        <f>L112-M112</f>
        <v>308493.61999999994</v>
      </c>
      <c r="P112" s="32">
        <f>Q112+R112+S112</f>
        <v>70822.81</v>
      </c>
      <c r="Q112" s="32">
        <v>66199.39</v>
      </c>
      <c r="R112" s="32">
        <v>0</v>
      </c>
      <c r="S112" s="32">
        <v>4623.42</v>
      </c>
      <c r="T112" s="75"/>
      <c r="V112" s="46">
        <f t="shared" si="32"/>
        <v>0</v>
      </c>
    </row>
    <row r="113" spans="2:22" s="33" customFormat="1" ht="135" customHeight="1" x14ac:dyDescent="0.25">
      <c r="B113" s="15" t="str">
        <f>'1 lentelė'!$B113</f>
        <v>2.2.2.1.5</v>
      </c>
      <c r="C113" s="15" t="str">
        <f>'1 lentelė'!$C113</f>
        <v>R090019-380000-2219</v>
      </c>
      <c r="D113" s="15" t="str">
        <f>'1 lentelė'!$D113</f>
        <v>,,Anykščių rajono kraštovaizdžio estetinio potencialo didinimas likviduojant bešeimininkius  kraštovaizdį darkančius statinius“</v>
      </c>
      <c r="E113" s="15" t="str">
        <f>'1 lentelė'!$E113</f>
        <v>Anykščių rajono savivaldybės administracija</v>
      </c>
      <c r="F113" s="35" t="s">
        <v>66</v>
      </c>
      <c r="G113" s="35" t="s">
        <v>880</v>
      </c>
      <c r="H113" s="32">
        <f>'1 lentelė'!$P113</f>
        <v>238835.47</v>
      </c>
      <c r="I113" s="32">
        <f>'1 lentelė'!$Q113</f>
        <v>203010.14</v>
      </c>
      <c r="J113" s="32">
        <f>'1 lentelė'!$R113</f>
        <v>0</v>
      </c>
      <c r="K113" s="32">
        <f>'1 lentelė'!$S113</f>
        <v>35825.329999999987</v>
      </c>
      <c r="L113" s="32">
        <v>238835.47000000003</v>
      </c>
      <c r="M113" s="32">
        <v>203010.14</v>
      </c>
      <c r="N113" s="32">
        <v>0</v>
      </c>
      <c r="O113" s="32">
        <v>35825.33</v>
      </c>
      <c r="P113" s="32">
        <v>238835.47</v>
      </c>
      <c r="Q113" s="32">
        <v>203010.14</v>
      </c>
      <c r="R113" s="32">
        <v>0</v>
      </c>
      <c r="S113" s="32">
        <v>35825.33</v>
      </c>
      <c r="T113" s="32" t="s">
        <v>890</v>
      </c>
      <c r="V113" s="46">
        <f t="shared" si="32"/>
        <v>0</v>
      </c>
    </row>
    <row r="114" spans="2:22" s="243" customFormat="1" ht="79.5" customHeight="1" x14ac:dyDescent="0.25">
      <c r="B114" s="15" t="str">
        <f>'1 lentelė'!$B114</f>
        <v>2.2.2.1.6</v>
      </c>
      <c r="C114" s="223" t="str">
        <f>'1 lentelė'!$C114</f>
        <v>R090019-380000-2220</v>
      </c>
      <c r="D114" s="223" t="str">
        <f>'1 lentelė'!$D114</f>
        <v>Kraštovaizdžio formavimas ir ekologinės būklės gerinimas Anykščių rajono savivaldybėje</v>
      </c>
      <c r="E114" s="223" t="str">
        <f>'1 lentelė'!$E114</f>
        <v>Anykščių rajono savivaldybės administracija</v>
      </c>
      <c r="F114" s="207" t="s">
        <v>66</v>
      </c>
      <c r="G114" s="207" t="s">
        <v>880</v>
      </c>
      <c r="H114" s="216">
        <f>'1 lentelė'!$P114</f>
        <v>170426</v>
      </c>
      <c r="I114" s="216">
        <f>'1 lentelė'!$Q114</f>
        <v>144862.1</v>
      </c>
      <c r="J114" s="216">
        <f>'1 lentelė'!$R114</f>
        <v>0</v>
      </c>
      <c r="K114" s="216">
        <f>'1 lentelė'!$S114</f>
        <v>25563.899999999994</v>
      </c>
      <c r="L114" s="216">
        <v>170426</v>
      </c>
      <c r="M114" s="216">
        <v>144862.1</v>
      </c>
      <c r="N114" s="216">
        <v>0</v>
      </c>
      <c r="O114" s="216">
        <v>25563.9</v>
      </c>
      <c r="P114" s="287">
        <v>170426</v>
      </c>
      <c r="Q114" s="287">
        <v>144862.1</v>
      </c>
      <c r="R114" s="216"/>
      <c r="S114" s="287">
        <f>P114-Q114</f>
        <v>25563.899999999994</v>
      </c>
      <c r="T114" s="216" t="s">
        <v>1230</v>
      </c>
      <c r="V114" s="244">
        <f t="shared" si="32"/>
        <v>0</v>
      </c>
    </row>
    <row r="115" spans="2:22" s="33" customFormat="1" ht="126" customHeight="1" x14ac:dyDescent="0.25">
      <c r="B115" s="15" t="str">
        <f>'1 lentelė'!$B115</f>
        <v>2.2.2.1.7</v>
      </c>
      <c r="C115" s="15" t="str">
        <f>'1 lentelė'!$C115</f>
        <v>R090019-380000-2221</v>
      </c>
      <c r="D115" s="15" t="str">
        <f>'1 lentelė'!$D115</f>
        <v>Visagino miesto kraštovaizdžio formavimas, ekologinės būklės gerinimas ir želdynų tvarkymas (kūrimas) gamtinio karkaso teritorijose</v>
      </c>
      <c r="E115" s="15" t="str">
        <f>'1 lentelė'!$E115</f>
        <v>Visagino savivaldybės administracija</v>
      </c>
      <c r="F115" s="35" t="s">
        <v>66</v>
      </c>
      <c r="G115" s="35" t="s">
        <v>1090</v>
      </c>
      <c r="H115" s="216">
        <f>'1 lentelė'!$P115</f>
        <v>469589.24</v>
      </c>
      <c r="I115" s="216">
        <f>'1 lentelė'!$Q115</f>
        <v>399150.85</v>
      </c>
      <c r="J115" s="216">
        <f>'1 lentelė'!$R115</f>
        <v>0</v>
      </c>
      <c r="K115" s="216">
        <f>'1 lentelė'!$S115</f>
        <v>70438.390000000014</v>
      </c>
      <c r="L115" s="32">
        <f>M115+N115+O115</f>
        <v>469589.24</v>
      </c>
      <c r="M115" s="32">
        <v>399150.85</v>
      </c>
      <c r="N115" s="32">
        <v>0</v>
      </c>
      <c r="O115" s="32">
        <v>70438.39</v>
      </c>
      <c r="P115" s="32">
        <v>0</v>
      </c>
      <c r="Q115" s="32">
        <v>0</v>
      </c>
      <c r="R115" s="32">
        <v>0</v>
      </c>
      <c r="S115" s="32">
        <v>0</v>
      </c>
      <c r="T115" s="75"/>
      <c r="V115" s="46">
        <f t="shared" si="32"/>
        <v>0</v>
      </c>
    </row>
    <row r="116" spans="2:22" s="33" customFormat="1" ht="135.75" customHeight="1" x14ac:dyDescent="0.25">
      <c r="B116" s="15" t="str">
        <f>'1 lentelė'!$B116</f>
        <v>2.2.2.1.8</v>
      </c>
      <c r="C116" s="15" t="str">
        <f>'1 lentelė'!$C116</f>
        <v>R090019-380000-2222</v>
      </c>
      <c r="D116" s="15" t="str">
        <f>'1 lentelė'!$D116</f>
        <v>Utenos rajono kraštovaizdžio estetinio potencialo didinimas likviduojant bešeimininkius apleistus, kraštovaizdį darkančius statinius</v>
      </c>
      <c r="E116" s="15" t="str">
        <f>'1 lentelė'!$E116</f>
        <v>Utenos rajono savivaldybės administracija</v>
      </c>
      <c r="F116" s="35" t="s">
        <v>66</v>
      </c>
      <c r="G116" s="35" t="s">
        <v>1090</v>
      </c>
      <c r="H116" s="32">
        <f>'1 lentelė'!$P116</f>
        <v>61811.29</v>
      </c>
      <c r="I116" s="32">
        <f>'1 lentelė'!$Q116</f>
        <v>52539.6</v>
      </c>
      <c r="J116" s="32">
        <f>'1 lentelė'!$R116</f>
        <v>0</v>
      </c>
      <c r="K116" s="32">
        <f>'1 lentelė'!$S116</f>
        <v>9271.6900000000023</v>
      </c>
      <c r="L116" s="32">
        <v>61811.29</v>
      </c>
      <c r="M116" s="32">
        <v>52539.6</v>
      </c>
      <c r="N116" s="32">
        <v>0</v>
      </c>
      <c r="O116" s="32">
        <f>L116-M116</f>
        <v>9271.6900000000023</v>
      </c>
      <c r="P116" s="286">
        <v>41645.75</v>
      </c>
      <c r="Q116" s="286">
        <v>37181.96</v>
      </c>
      <c r="R116" s="32">
        <v>0</v>
      </c>
      <c r="S116" s="286">
        <f>P116-Q116</f>
        <v>4463.7900000000009</v>
      </c>
      <c r="T116" s="75"/>
      <c r="V116" s="46">
        <f t="shared" si="32"/>
        <v>0</v>
      </c>
    </row>
    <row r="117" spans="2:22" s="33" customFormat="1" ht="60.75" customHeight="1" x14ac:dyDescent="0.25">
      <c r="B117" s="15" t="str">
        <f>'1 lentelė'!$B117</f>
        <v>2.2.2.1.9</v>
      </c>
      <c r="C117" s="15" t="str">
        <f>'1 lentelė'!$C117</f>
        <v>R090019-380000-2223</v>
      </c>
      <c r="D117" s="15" t="str">
        <f>'1 lentelė'!$D117</f>
        <v xml:space="preserve">Kraštovaizdžio planavimas, tvarkymas ir būklės gerinimas Molėtų rajone </v>
      </c>
      <c r="E117" s="15" t="str">
        <f>'1 lentelė'!$E117</f>
        <v>Molėtų rajono savivaldybės administracija</v>
      </c>
      <c r="F117" s="35" t="s">
        <v>66</v>
      </c>
      <c r="G117" s="35" t="s">
        <v>1090</v>
      </c>
      <c r="H117" s="32">
        <f>'1 lentelė'!$P117</f>
        <v>271859.99</v>
      </c>
      <c r="I117" s="32">
        <f>'1 lentelė'!$Q117</f>
        <v>213195.03</v>
      </c>
      <c r="J117" s="32">
        <f>'1 lentelė'!$R117</f>
        <v>0</v>
      </c>
      <c r="K117" s="32">
        <f>'1 lentelė'!$S117</f>
        <v>58664.959999999992</v>
      </c>
      <c r="L117" s="32">
        <f>M117+O117</f>
        <v>271859.99</v>
      </c>
      <c r="M117" s="32">
        <v>231080.99</v>
      </c>
      <c r="N117" s="32">
        <v>0</v>
      </c>
      <c r="O117" s="32">
        <v>40779</v>
      </c>
      <c r="P117" s="286">
        <v>264938.27</v>
      </c>
      <c r="Q117" s="286">
        <v>231080.98</v>
      </c>
      <c r="R117" s="32">
        <v>0</v>
      </c>
      <c r="S117" s="286">
        <f>P117-Q117</f>
        <v>33857.290000000008</v>
      </c>
      <c r="T117" s="282"/>
      <c r="V117" s="46">
        <f t="shared" si="32"/>
        <v>0</v>
      </c>
    </row>
    <row r="118" spans="2:22" s="6" customFormat="1" ht="87.75" customHeight="1" x14ac:dyDescent="0.25">
      <c r="B118" s="15" t="str">
        <f>'1 lentelė'!$B118</f>
        <v>2.2.2.1.10</v>
      </c>
      <c r="C118" s="15" t="str">
        <f>'1 lentelė'!$C118</f>
        <v>R090019-380000-2224</v>
      </c>
      <c r="D118" s="15" t="str">
        <f>'1 lentelė'!$D118</f>
        <v>Kraštovaizdžio formavimas, pažeistų žemių tvarkymas Ignalinos rajone ir bendrųjų planų tikslinimas</v>
      </c>
      <c r="E118" s="15" t="str">
        <f>'1 lentelė'!$E118</f>
        <v>Ignalinos rajono savivaldybės administracija</v>
      </c>
      <c r="F118" s="35" t="s">
        <v>66</v>
      </c>
      <c r="G118" s="35" t="s">
        <v>66</v>
      </c>
      <c r="H118" s="29">
        <f>'1 lentelė'!$P118</f>
        <v>588235.30000000005</v>
      </c>
      <c r="I118" s="29">
        <f>'1 lentelė'!$Q118</f>
        <v>500000</v>
      </c>
      <c r="J118" s="29">
        <f>'1 lentelė'!$R118</f>
        <v>0</v>
      </c>
      <c r="K118" s="29">
        <f>'1 lentelė'!$S118</f>
        <v>88235.300000000047</v>
      </c>
      <c r="L118" s="29">
        <v>0</v>
      </c>
      <c r="M118" s="29">
        <v>0</v>
      </c>
      <c r="N118" s="29">
        <v>0</v>
      </c>
      <c r="O118" s="29">
        <v>0</v>
      </c>
      <c r="P118" s="29">
        <v>0</v>
      </c>
      <c r="Q118" s="29">
        <v>0</v>
      </c>
      <c r="R118" s="29">
        <v>0</v>
      </c>
      <c r="S118" s="29">
        <v>0</v>
      </c>
      <c r="T118" s="54"/>
      <c r="V118" s="46">
        <f t="shared" si="32"/>
        <v>0</v>
      </c>
    </row>
    <row r="119" spans="2:22" s="6" customFormat="1" ht="78.75" customHeight="1" x14ac:dyDescent="0.25">
      <c r="B119" s="15" t="str">
        <f>'1 lentelė'!$B119</f>
        <v>2.2.2.1.11</v>
      </c>
      <c r="C119" s="15" t="str">
        <f>'1 lentelė'!$C119</f>
        <v>R090019-380000-2225</v>
      </c>
      <c r="D119" s="15" t="str">
        <f>'1 lentelė'!$D119</f>
        <v>Bešeimininkių apleistų statinių likvidavimas Molėtų rajono savivaldybėje</v>
      </c>
      <c r="E119" s="15" t="str">
        <f>'1 lentelė'!$E119</f>
        <v>Molėtų rajono savivaldybės administracija</v>
      </c>
      <c r="F119" s="35" t="s">
        <v>66</v>
      </c>
      <c r="G119" s="35" t="s">
        <v>1090</v>
      </c>
      <c r="H119" s="29">
        <f>'1 lentelė'!$P119</f>
        <v>41686.44</v>
      </c>
      <c r="I119" s="29">
        <f>'1 lentelė'!$Q119</f>
        <v>22507.37</v>
      </c>
      <c r="J119" s="29">
        <f>'1 lentelė'!$R119</f>
        <v>0</v>
      </c>
      <c r="K119" s="29">
        <f>'1 lentelė'!$S119</f>
        <v>19179.070000000003</v>
      </c>
      <c r="L119" s="29">
        <v>41686.44</v>
      </c>
      <c r="M119" s="29">
        <v>22507.37</v>
      </c>
      <c r="N119" s="29">
        <v>0</v>
      </c>
      <c r="O119" s="29">
        <f>L119-M119</f>
        <v>19179.070000000003</v>
      </c>
      <c r="P119" s="29">
        <v>0</v>
      </c>
      <c r="Q119" s="29">
        <v>0</v>
      </c>
      <c r="R119" s="29">
        <v>0</v>
      </c>
      <c r="S119" s="29">
        <v>0</v>
      </c>
      <c r="T119" s="54"/>
      <c r="V119" s="46"/>
    </row>
    <row r="120" spans="2:22" s="6" customFormat="1" ht="71.25" customHeight="1" x14ac:dyDescent="0.25">
      <c r="B120" s="15" t="str">
        <f>'1 lentelė'!$B120</f>
        <v>2.2.2.1.12</v>
      </c>
      <c r="C120" s="15" t="str">
        <f>'1 lentelė'!$C120</f>
        <v>R090019-380000-2226</v>
      </c>
      <c r="D120" s="15" t="str">
        <f>'1 lentelė'!$D120</f>
        <v>Bešeimininkių apleistų pastatų likvidavimas Zarasų rajone</v>
      </c>
      <c r="E120" s="15" t="str">
        <f>'1 lentelė'!$E120</f>
        <v>Zarasų rajono savivaldybės administracija</v>
      </c>
      <c r="F120" s="35" t="s">
        <v>66</v>
      </c>
      <c r="G120" s="35" t="s">
        <v>66</v>
      </c>
      <c r="H120" s="29">
        <f>'1 lentelė'!$P120</f>
        <v>42232.77</v>
      </c>
      <c r="I120" s="29">
        <f>'1 lentelė'!$Q120</f>
        <v>35897.85</v>
      </c>
      <c r="J120" s="29">
        <f>'1 lentelė'!$R120</f>
        <v>0</v>
      </c>
      <c r="K120" s="29">
        <f>'1 lentelė'!$S120</f>
        <v>6334.9199999999983</v>
      </c>
      <c r="L120" s="29">
        <v>0</v>
      </c>
      <c r="M120" s="29">
        <v>0</v>
      </c>
      <c r="N120" s="29">
        <v>0</v>
      </c>
      <c r="O120" s="29">
        <v>0</v>
      </c>
      <c r="P120" s="29">
        <v>0</v>
      </c>
      <c r="Q120" s="29">
        <v>0</v>
      </c>
      <c r="R120" s="29">
        <v>0</v>
      </c>
      <c r="S120" s="29">
        <v>0</v>
      </c>
      <c r="T120" s="54"/>
      <c r="V120" s="46"/>
    </row>
    <row r="121" spans="2:22" s="6" customFormat="1" ht="93" customHeight="1" x14ac:dyDescent="0.25">
      <c r="B121" s="88" t="str">
        <f>'1 lentelė'!$B121</f>
        <v xml:space="preserve">2.3 </v>
      </c>
      <c r="C121" s="88"/>
      <c r="D121" s="51" t="str">
        <f>'1 lentelė'!$D121</f>
        <v>Tikslas: Verslo ir investicijų skatinimas bei pramonės potencialo skatinimas</v>
      </c>
      <c r="E121" s="88"/>
      <c r="F121" s="88"/>
      <c r="G121" s="88"/>
      <c r="H121" s="88"/>
      <c r="I121" s="88"/>
      <c r="J121" s="88"/>
      <c r="K121" s="88"/>
      <c r="L121" s="88"/>
      <c r="M121" s="88"/>
      <c r="N121" s="88"/>
      <c r="O121" s="88"/>
      <c r="P121" s="88"/>
      <c r="Q121" s="88"/>
      <c r="R121" s="88"/>
      <c r="S121" s="88"/>
      <c r="T121" s="22"/>
    </row>
    <row r="122" spans="2:22" s="6" customFormat="1" ht="93" customHeight="1" x14ac:dyDescent="0.25">
      <c r="B122" s="48" t="str">
        <f>'1 lentelė'!$B122</f>
        <v>2.3.1</v>
      </c>
      <c r="C122" s="48"/>
      <c r="D122" s="48" t="str">
        <f>'1 lentelė'!$D122</f>
        <v>Uždavinys: Sukurti infrastruktūrą ir palankią aplinką vidaus ir užsienio investuotojams</v>
      </c>
      <c r="E122" s="48"/>
      <c r="F122" s="48"/>
      <c r="G122" s="48"/>
      <c r="H122" s="48"/>
      <c r="I122" s="48"/>
      <c r="J122" s="48"/>
      <c r="K122" s="48"/>
      <c r="L122" s="48"/>
      <c r="M122" s="48"/>
      <c r="N122" s="48"/>
      <c r="O122" s="48"/>
      <c r="P122" s="48"/>
      <c r="Q122" s="48"/>
      <c r="R122" s="48"/>
      <c r="S122" s="48"/>
      <c r="T122" s="26"/>
    </row>
    <row r="123" spans="2:22" s="6" customFormat="1" ht="273.75" customHeight="1" x14ac:dyDescent="0.25">
      <c r="B123" s="50" t="str">
        <f>'1 lentelė'!$B123</f>
        <v>2.3.1.1</v>
      </c>
      <c r="C123" s="248" t="s">
        <v>1181</v>
      </c>
      <c r="D123" s="90" t="str">
        <f>'1 lentelė'!$D123</f>
        <v>Priemonė: Sukurti ir (arba) išplėtoti pramoninių parkų infrastruktūrą ir taip sudaryti sąlygas pritraukti tiesioginių užsienio investicijų sumanios specializacijos srityse (valstybinė SMART PARK LT)</v>
      </c>
      <c r="E123" s="50"/>
      <c r="F123" s="50"/>
      <c r="G123" s="50"/>
      <c r="H123" s="279">
        <f>SUM(H124)</f>
        <v>2044376</v>
      </c>
      <c r="I123" s="279">
        <f t="shared" ref="I123:S123" si="33">SUM(I124)</f>
        <v>1737720</v>
      </c>
      <c r="J123" s="279">
        <f t="shared" si="33"/>
        <v>0</v>
      </c>
      <c r="K123" s="279">
        <f t="shared" si="33"/>
        <v>306656</v>
      </c>
      <c r="L123" s="279">
        <f t="shared" si="33"/>
        <v>0</v>
      </c>
      <c r="M123" s="279">
        <f t="shared" si="33"/>
        <v>0</v>
      </c>
      <c r="N123" s="279">
        <f t="shared" si="33"/>
        <v>0</v>
      </c>
      <c r="O123" s="279">
        <f t="shared" si="33"/>
        <v>0</v>
      </c>
      <c r="P123" s="279">
        <f t="shared" si="33"/>
        <v>0</v>
      </c>
      <c r="Q123" s="279">
        <f t="shared" si="33"/>
        <v>0</v>
      </c>
      <c r="R123" s="279">
        <f t="shared" si="33"/>
        <v>0</v>
      </c>
      <c r="S123" s="279">
        <f t="shared" si="33"/>
        <v>0</v>
      </c>
      <c r="T123" s="35"/>
    </row>
    <row r="124" spans="2:22" s="6" customFormat="1" ht="138.75" customHeight="1" x14ac:dyDescent="0.25">
      <c r="B124" s="15" t="str">
        <f>'1 lentelė'!$B124</f>
        <v>2.3.1.1.1</v>
      </c>
      <c r="C124" s="15" t="str">
        <f>'1 lentelė'!$C124</f>
        <v>R098830-360000-2301</v>
      </c>
      <c r="D124" s="15" t="str">
        <f>'1 lentelė'!$D124</f>
        <v>Investicijos į Visagine kuriamo pramoninio parko (SMART PARK) inžinerinius tinklus ir susisiekimo komunikacijas bei pramoninio parko rinkodarą</v>
      </c>
      <c r="E124" s="15" t="str">
        <f>'1 lentelė'!$E124</f>
        <v>Visagino savivaldybės administracija</v>
      </c>
      <c r="F124" s="35" t="s">
        <v>65</v>
      </c>
      <c r="G124" s="35" t="s">
        <v>66</v>
      </c>
      <c r="H124" s="29">
        <f>'1 lentelė'!$P124</f>
        <v>2044376</v>
      </c>
      <c r="I124" s="29">
        <f>'1 lentelė'!$Q124</f>
        <v>1737720</v>
      </c>
      <c r="J124" s="29">
        <f>'1 lentelė'!$R124</f>
        <v>0</v>
      </c>
      <c r="K124" s="29">
        <f>'1 lentelė'!$S124</f>
        <v>306656</v>
      </c>
      <c r="L124" s="29">
        <v>0</v>
      </c>
      <c r="M124" s="29">
        <v>0</v>
      </c>
      <c r="N124" s="29">
        <v>0</v>
      </c>
      <c r="O124" s="29">
        <v>0</v>
      </c>
      <c r="P124" s="251">
        <v>0</v>
      </c>
      <c r="Q124" s="251">
        <v>0</v>
      </c>
      <c r="R124" s="251">
        <v>0</v>
      </c>
      <c r="S124" s="251">
        <v>0</v>
      </c>
      <c r="T124" s="29" t="s">
        <v>891</v>
      </c>
    </row>
    <row r="125" spans="2:22" s="6" customFormat="1" ht="65.25" customHeight="1" x14ac:dyDescent="0.25">
      <c r="B125" s="48" t="str">
        <f>'1 lentelė'!$B125</f>
        <v>2.3.2</v>
      </c>
      <c r="C125" s="48"/>
      <c r="D125" s="48" t="str">
        <f>'1 lentelė'!$D125</f>
        <v>Uždavinys: Skatinti bendruomeninį-socialinį verslą</v>
      </c>
      <c r="E125" s="48"/>
      <c r="F125" s="48"/>
      <c r="G125" s="48"/>
      <c r="H125" s="48"/>
      <c r="I125" s="48"/>
      <c r="J125" s="48"/>
      <c r="K125" s="48"/>
      <c r="L125" s="48"/>
      <c r="M125" s="48"/>
      <c r="N125" s="48"/>
      <c r="O125" s="48"/>
      <c r="P125" s="48"/>
      <c r="Q125" s="48"/>
      <c r="R125" s="48"/>
      <c r="S125" s="48"/>
      <c r="T125" s="26"/>
    </row>
    <row r="126" spans="2:22" s="6" customFormat="1" ht="72.75" customHeight="1" x14ac:dyDescent="0.25">
      <c r="B126" s="50" t="str">
        <f>'1 lentelė'!$B126</f>
        <v>2.3.2.1</v>
      </c>
      <c r="C126" s="50"/>
      <c r="D126" s="90" t="str">
        <f>'1 lentelė'!$D126</f>
        <v>Priemonė: konkursinė, VVG strategijų įgyvendinimas</v>
      </c>
      <c r="E126" s="50"/>
      <c r="F126" s="50"/>
      <c r="G126" s="50"/>
      <c r="H126" s="50"/>
      <c r="I126" s="50"/>
      <c r="J126" s="50"/>
      <c r="K126" s="50"/>
      <c r="L126" s="50"/>
      <c r="M126" s="50"/>
      <c r="N126" s="50"/>
      <c r="O126" s="50"/>
      <c r="P126" s="50"/>
      <c r="Q126" s="50"/>
      <c r="R126" s="50"/>
      <c r="S126" s="50"/>
      <c r="T126" s="27"/>
    </row>
    <row r="127" spans="2:22" s="6" customFormat="1" ht="117.75" customHeight="1" x14ac:dyDescent="0.25">
      <c r="B127" s="48" t="str">
        <f>'1 lentelė'!$B127</f>
        <v>2.3.3</v>
      </c>
      <c r="C127" s="48"/>
      <c r="D127" s="48" t="str">
        <f>'1 lentelė'!$D127</f>
        <v>Uždavinys:  Didinti regiono konkurencingumą skatinant tarpregioninį bendradarbiavimą ir partnerystę</v>
      </c>
      <c r="E127" s="48"/>
      <c r="F127" s="48"/>
      <c r="G127" s="48"/>
      <c r="H127" s="48"/>
      <c r="I127" s="48"/>
      <c r="J127" s="48"/>
      <c r="K127" s="48"/>
      <c r="L127" s="48"/>
      <c r="M127" s="48"/>
      <c r="N127" s="48"/>
      <c r="O127" s="48"/>
      <c r="P127" s="48"/>
      <c r="Q127" s="48"/>
      <c r="R127" s="48"/>
      <c r="S127" s="48"/>
      <c r="T127" s="26"/>
    </row>
    <row r="128" spans="2:22" s="6" customFormat="1" ht="56.25" customHeight="1" x14ac:dyDescent="0.25">
      <c r="B128" s="50" t="str">
        <f>'1 lentelė'!$B128</f>
        <v>2.3.3.1</v>
      </c>
      <c r="C128" s="50"/>
      <c r="D128" s="90" t="str">
        <f>'1 lentelė'!$D128</f>
        <v>Priemonė: Skatinti užimtumą regione</v>
      </c>
      <c r="E128" s="50"/>
      <c r="F128" s="50"/>
      <c r="G128" s="50"/>
      <c r="H128" s="279">
        <f>SUM(H129)</f>
        <v>7000000</v>
      </c>
      <c r="I128" s="279">
        <f t="shared" ref="I128:S128" si="34">SUM(I129)</f>
        <v>0</v>
      </c>
      <c r="J128" s="279">
        <f t="shared" si="34"/>
        <v>0</v>
      </c>
      <c r="K128" s="279">
        <f t="shared" si="34"/>
        <v>7000000</v>
      </c>
      <c r="L128" s="279">
        <f t="shared" si="34"/>
        <v>0</v>
      </c>
      <c r="M128" s="279">
        <f t="shared" si="34"/>
        <v>0</v>
      </c>
      <c r="N128" s="279">
        <f t="shared" si="34"/>
        <v>0</v>
      </c>
      <c r="O128" s="279">
        <f t="shared" si="34"/>
        <v>0</v>
      </c>
      <c r="P128" s="279">
        <f t="shared" si="34"/>
        <v>0</v>
      </c>
      <c r="Q128" s="279">
        <f t="shared" si="34"/>
        <v>0</v>
      </c>
      <c r="R128" s="279">
        <f t="shared" si="34"/>
        <v>0</v>
      </c>
      <c r="S128" s="279">
        <f t="shared" si="34"/>
        <v>0</v>
      </c>
      <c r="T128" s="35"/>
    </row>
    <row r="129" spans="2:22" s="33" customFormat="1" ht="100.5" customHeight="1" x14ac:dyDescent="0.25">
      <c r="B129" s="15" t="str">
        <f>'1 lentelė'!$B129</f>
        <v>2.3.3.1.1</v>
      </c>
      <c r="C129" s="15" t="str">
        <f>'1 lentelė'!$C129</f>
        <v>R09B000-510000-2302</v>
      </c>
      <c r="D129" s="15" t="str">
        <f>'1 lentelė'!$D129</f>
        <v>Pasaulinio medicininių produktų gamintojo plėtros projektas                         (URPT 2018-06-07 sprendimas Nr.51/7S-31)</v>
      </c>
      <c r="E129" s="15" t="str">
        <f>'1 lentelė'!$E129</f>
        <v>,,INTERSURGICAL" įmonių grupė</v>
      </c>
      <c r="F129" s="39" t="s">
        <v>31</v>
      </c>
      <c r="G129" s="39" t="s">
        <v>66</v>
      </c>
      <c r="H129" s="29">
        <f>'1 lentelė'!$P129</f>
        <v>7000000</v>
      </c>
      <c r="I129" s="29">
        <f>'1 lentelė'!$Q129</f>
        <v>0</v>
      </c>
      <c r="J129" s="29">
        <f>'1 lentelė'!$R129</f>
        <v>0</v>
      </c>
      <c r="K129" s="29">
        <f>'1 lentelė'!$S129</f>
        <v>7000000</v>
      </c>
      <c r="L129" s="32">
        <v>0</v>
      </c>
      <c r="M129" s="32">
        <v>0</v>
      </c>
      <c r="N129" s="32">
        <v>0</v>
      </c>
      <c r="O129" s="32">
        <v>0</v>
      </c>
      <c r="P129" s="32">
        <v>0</v>
      </c>
      <c r="Q129" s="32">
        <v>0</v>
      </c>
      <c r="R129" s="32">
        <v>0</v>
      </c>
      <c r="S129" s="32">
        <v>0</v>
      </c>
      <c r="T129" s="99"/>
    </row>
    <row r="130" spans="2:22" s="6" customFormat="1" ht="55.5" customHeight="1" x14ac:dyDescent="0.25">
      <c r="B130" s="65" t="str">
        <f>'1 lentelė'!$B130</f>
        <v>3.</v>
      </c>
      <c r="C130" s="65"/>
      <c r="D130" s="87" t="str">
        <f>'1 lentelė'!$D130</f>
        <v>Prioritetas: Gyvenimo kokybės gerinimas</v>
      </c>
      <c r="E130" s="65"/>
      <c r="F130" s="65"/>
      <c r="G130" s="65"/>
      <c r="H130" s="65"/>
      <c r="I130" s="65"/>
      <c r="J130" s="65"/>
      <c r="K130" s="65"/>
      <c r="L130" s="65"/>
      <c r="M130" s="65"/>
      <c r="N130" s="65"/>
      <c r="O130" s="65"/>
      <c r="P130" s="65"/>
      <c r="Q130" s="65"/>
      <c r="R130" s="65"/>
      <c r="S130" s="65"/>
      <c r="T130" s="41"/>
    </row>
    <row r="131" spans="2:22" s="6" customFormat="1" ht="68.25" customHeight="1" x14ac:dyDescent="0.25">
      <c r="B131" s="52" t="str">
        <f>'1 lentelė'!$B131</f>
        <v xml:space="preserve">3.1 </v>
      </c>
      <c r="C131" s="52"/>
      <c r="D131" s="52" t="str">
        <f>'1 lentelė'!$D131</f>
        <v>Tikslas: Mokymosi visą gyvenimą ir kūrybiškumo skatinimas</v>
      </c>
      <c r="E131" s="52"/>
      <c r="F131" s="52"/>
      <c r="G131" s="52"/>
      <c r="H131" s="52"/>
      <c r="I131" s="52"/>
      <c r="J131" s="52"/>
      <c r="K131" s="52"/>
      <c r="L131" s="52"/>
      <c r="M131" s="52"/>
      <c r="N131" s="52"/>
      <c r="O131" s="52"/>
      <c r="P131" s="52"/>
      <c r="Q131" s="52"/>
      <c r="R131" s="52"/>
      <c r="S131" s="52"/>
      <c r="T131" s="23"/>
    </row>
    <row r="132" spans="2:22" s="6" customFormat="1" ht="93" customHeight="1" x14ac:dyDescent="0.25">
      <c r="B132" s="48" t="str">
        <f>'1 lentelė'!$B132</f>
        <v>3.1.1</v>
      </c>
      <c r="C132" s="48"/>
      <c r="D132" s="48" t="str">
        <f>'1 lentelė'!$D132</f>
        <v>Uždavinys: Gerinti švietimo kokybę, modernizuojant švietimo infrastruktūrą</v>
      </c>
      <c r="E132" s="48"/>
      <c r="F132" s="48"/>
      <c r="G132" s="48"/>
      <c r="H132" s="48"/>
      <c r="I132" s="48"/>
      <c r="J132" s="48"/>
      <c r="K132" s="48"/>
      <c r="L132" s="48"/>
      <c r="M132" s="48"/>
      <c r="N132" s="48"/>
      <c r="O132" s="48"/>
      <c r="P132" s="48"/>
      <c r="Q132" s="48"/>
      <c r="R132" s="48"/>
      <c r="S132" s="48"/>
      <c r="T132" s="26"/>
    </row>
    <row r="133" spans="2:22" s="6" customFormat="1" ht="98.25" customHeight="1" x14ac:dyDescent="0.25">
      <c r="B133" s="50" t="str">
        <f>'1 lentelė'!$B133</f>
        <v>3.1.1.1</v>
      </c>
      <c r="C133" s="248" t="s">
        <v>462</v>
      </c>
      <c r="D133" s="90" t="str">
        <f>'1 lentelė'!$D133</f>
        <v>Priemonė: Ikimokyklinio ir priešmokyklinio ugdymo prieinamumo didinimas</v>
      </c>
      <c r="E133" s="50"/>
      <c r="F133" s="50"/>
      <c r="G133" s="50"/>
      <c r="H133" s="279">
        <f>SUM(H135+H136)</f>
        <v>972261.09</v>
      </c>
      <c r="I133" s="279">
        <f t="shared" ref="I133:S133" si="35">SUM(I135+I136)</f>
        <v>826421.91999999993</v>
      </c>
      <c r="J133" s="279">
        <f t="shared" si="35"/>
        <v>72919.58</v>
      </c>
      <c r="K133" s="279">
        <f t="shared" si="35"/>
        <v>72919.589999999982</v>
      </c>
      <c r="L133" s="279">
        <f t="shared" si="35"/>
        <v>609261.09</v>
      </c>
      <c r="M133" s="279">
        <f t="shared" si="35"/>
        <v>517871.92</v>
      </c>
      <c r="N133" s="279">
        <f t="shared" si="35"/>
        <v>45694.58</v>
      </c>
      <c r="O133" s="279">
        <f t="shared" si="35"/>
        <v>45694.589999999982</v>
      </c>
      <c r="P133" s="279">
        <f t="shared" si="35"/>
        <v>347048.25</v>
      </c>
      <c r="Q133" s="279">
        <f t="shared" si="35"/>
        <v>311531.56</v>
      </c>
      <c r="R133" s="279">
        <f t="shared" si="35"/>
        <v>17758.34</v>
      </c>
      <c r="S133" s="279">
        <f t="shared" si="35"/>
        <v>17758.350000000002</v>
      </c>
      <c r="T133" s="35"/>
    </row>
    <row r="134" spans="2:22" s="6" customFormat="1" ht="20.25" hidden="1" customHeight="1" x14ac:dyDescent="0.25">
      <c r="B134" s="15"/>
      <c r="C134" s="15"/>
      <c r="D134" s="15"/>
      <c r="E134" s="15"/>
      <c r="F134" s="42"/>
      <c r="G134" s="35"/>
      <c r="H134" s="29"/>
      <c r="I134" s="29"/>
      <c r="J134" s="29"/>
      <c r="K134" s="29"/>
      <c r="L134" s="98"/>
      <c r="M134" s="98"/>
      <c r="N134" s="98"/>
      <c r="O134" s="98"/>
      <c r="P134" s="98"/>
      <c r="Q134" s="98"/>
      <c r="R134" s="98"/>
      <c r="S134" s="98"/>
      <c r="T134" s="99"/>
    </row>
    <row r="135" spans="2:22" s="33" customFormat="1" ht="66" customHeight="1" x14ac:dyDescent="0.25">
      <c r="B135" s="15" t="str">
        <f>'1 lentelė'!$B134</f>
        <v>3.1.1.1.2</v>
      </c>
      <c r="C135" s="15" t="str">
        <f>'1 lentelė'!$C134</f>
        <v>R097705-230000-3102</v>
      </c>
      <c r="D135" s="15" t="str">
        <f>'1 lentelė'!$D134</f>
        <v>Utenos vaikų lopšelio darželio „Šaltinėlis“ vidaus patalpų modernizavimas</v>
      </c>
      <c r="E135" s="15" t="str">
        <f>'1 lentelė'!$E134</f>
        <v>Utenos rajono savivaldybės administracija</v>
      </c>
      <c r="F135" s="35" t="s">
        <v>65</v>
      </c>
      <c r="G135" s="39" t="s">
        <v>1090</v>
      </c>
      <c r="H135" s="32">
        <f>'1 lentelė'!$P134</f>
        <v>609261.09</v>
      </c>
      <c r="I135" s="32">
        <f>'1 lentelė'!$Q134</f>
        <v>517871.92</v>
      </c>
      <c r="J135" s="32">
        <f>'1 lentelė'!$R134</f>
        <v>45694.58</v>
      </c>
      <c r="K135" s="32">
        <f>'1 lentelė'!$S134</f>
        <v>45694.589999999982</v>
      </c>
      <c r="L135" s="32">
        <v>609261.09</v>
      </c>
      <c r="M135" s="32">
        <v>517871.92</v>
      </c>
      <c r="N135" s="32">
        <v>45694.58</v>
      </c>
      <c r="O135" s="32">
        <f>L135-M135-N135</f>
        <v>45694.589999999982</v>
      </c>
      <c r="P135" s="32">
        <v>347048.25</v>
      </c>
      <c r="Q135" s="32">
        <v>311531.56</v>
      </c>
      <c r="R135" s="32">
        <v>17758.34</v>
      </c>
      <c r="S135" s="32">
        <f>P135-Q135-R135</f>
        <v>17758.350000000002</v>
      </c>
      <c r="T135" s="32"/>
      <c r="V135" s="46">
        <f>L135-M135-N135-O135</f>
        <v>0</v>
      </c>
    </row>
    <row r="136" spans="2:22" s="33" customFormat="1" ht="77.25" customHeight="1" x14ac:dyDescent="0.25">
      <c r="B136" s="15" t="str">
        <f>'1 lentelė'!$B135</f>
        <v>3.1.1.1.3</v>
      </c>
      <c r="C136" s="15" t="str">
        <f>'1 lentelė'!$C135</f>
        <v>R097705-230000-3103</v>
      </c>
      <c r="D136" s="15" t="str">
        <f>'1 lentelė'!$D135</f>
        <v>Utenos vaikų lopšelio – darželio ,,Pasaka" vidaus patalpų modernizavimas</v>
      </c>
      <c r="E136" s="15" t="str">
        <f>'1 lentelė'!$E135</f>
        <v>Utenos rajono savivaldybės administracija</v>
      </c>
      <c r="F136" s="39" t="s">
        <v>66</v>
      </c>
      <c r="G136" s="39" t="s">
        <v>66</v>
      </c>
      <c r="H136" s="32">
        <f>'1 lentelė'!$P135</f>
        <v>363000</v>
      </c>
      <c r="I136" s="32">
        <f>'1 lentelė'!$Q135</f>
        <v>308550</v>
      </c>
      <c r="J136" s="32">
        <f>'1 lentelė'!$R135</f>
        <v>27225</v>
      </c>
      <c r="K136" s="32">
        <f>'1 lentelė'!$S135</f>
        <v>27225</v>
      </c>
      <c r="L136" s="32">
        <v>0</v>
      </c>
      <c r="M136" s="32">
        <v>0</v>
      </c>
      <c r="N136" s="32">
        <v>0</v>
      </c>
      <c r="O136" s="32">
        <v>0</v>
      </c>
      <c r="P136" s="32">
        <v>0</v>
      </c>
      <c r="Q136" s="32">
        <v>0</v>
      </c>
      <c r="R136" s="32">
        <v>0</v>
      </c>
      <c r="S136" s="32">
        <v>0</v>
      </c>
      <c r="T136" s="32"/>
      <c r="V136" s="46"/>
    </row>
    <row r="137" spans="2:22" s="6" customFormat="1" ht="72.75" customHeight="1" x14ac:dyDescent="0.25">
      <c r="B137" s="50" t="str">
        <f>'1 lentelė'!$B136</f>
        <v>3.1.1.2</v>
      </c>
      <c r="C137" s="248" t="s">
        <v>1182</v>
      </c>
      <c r="D137" s="90" t="str">
        <f>'1 lentelė'!$D136</f>
        <v>Priemonė:  Mokyklų tinklo efektyvumo didinimas</v>
      </c>
      <c r="E137" s="50"/>
      <c r="F137" s="50"/>
      <c r="G137" s="50"/>
      <c r="H137" s="279">
        <f>SUM(H138:H140)</f>
        <v>1226029.76</v>
      </c>
      <c r="I137" s="279">
        <f t="shared" ref="I137:S137" si="36">SUM(I138:I140)</f>
        <v>830529</v>
      </c>
      <c r="J137" s="279">
        <f t="shared" si="36"/>
        <v>73280.649999999994</v>
      </c>
      <c r="K137" s="279">
        <f t="shared" si="36"/>
        <v>322220.11000000004</v>
      </c>
      <c r="L137" s="279">
        <f t="shared" si="36"/>
        <v>1226029.7599999998</v>
      </c>
      <c r="M137" s="279">
        <f t="shared" si="36"/>
        <v>830529</v>
      </c>
      <c r="N137" s="279">
        <f t="shared" si="36"/>
        <v>73280.649999999994</v>
      </c>
      <c r="O137" s="279">
        <f t="shared" si="36"/>
        <v>322220.10999999993</v>
      </c>
      <c r="P137" s="279">
        <f t="shared" si="36"/>
        <v>611607.63</v>
      </c>
      <c r="Q137" s="279">
        <f t="shared" si="36"/>
        <v>477856.35</v>
      </c>
      <c r="R137" s="279">
        <f t="shared" si="36"/>
        <v>42163.240000000005</v>
      </c>
      <c r="S137" s="279">
        <f t="shared" si="36"/>
        <v>91588.04</v>
      </c>
      <c r="T137" s="35"/>
    </row>
    <row r="138" spans="2:22" s="33" customFormat="1" ht="101.25" customHeight="1" x14ac:dyDescent="0.25">
      <c r="B138" s="15" t="str">
        <f>'1 lentelė'!$B137</f>
        <v>3.1.1.2.1</v>
      </c>
      <c r="C138" s="15" t="str">
        <f>'1 lentelė'!$C137</f>
        <v>R097724-220000-3103</v>
      </c>
      <c r="D138" s="15" t="str">
        <f>'1 lentelė'!$D137</f>
        <v xml:space="preserve">Anykščių miesto A.Vienuolio progimnazijos modernizavimas (vidaus erdvių remontas ir aprūpinimas įranga) </v>
      </c>
      <c r="E138" s="15" t="str">
        <f>'1 lentelė'!$E137</f>
        <v>Anykščių rajono savivaldybės administracija</v>
      </c>
      <c r="F138" s="35" t="s">
        <v>65</v>
      </c>
      <c r="G138" s="39" t="s">
        <v>1090</v>
      </c>
      <c r="H138" s="32">
        <f>'1 lentelė'!$P137</f>
        <v>506137.67</v>
      </c>
      <c r="I138" s="32">
        <f>'1 lentelė'!$Q137</f>
        <v>276000</v>
      </c>
      <c r="J138" s="32">
        <f>'1 lentelė'!$R137</f>
        <v>24352</v>
      </c>
      <c r="K138" s="32">
        <f>'1 lentelė'!$S137</f>
        <v>205785.67</v>
      </c>
      <c r="L138" s="32">
        <v>506137.67</v>
      </c>
      <c r="M138" s="32">
        <v>276000</v>
      </c>
      <c r="N138" s="32">
        <v>24352</v>
      </c>
      <c r="O138" s="32">
        <f>L138-M138-N138</f>
        <v>205785.66999999998</v>
      </c>
      <c r="P138" s="32">
        <f>Q138+R138+S138</f>
        <v>138242.4</v>
      </c>
      <c r="Q138" s="32">
        <v>109049.29</v>
      </c>
      <c r="R138" s="32">
        <v>9621.6200000000008</v>
      </c>
      <c r="S138" s="32">
        <v>19571.490000000002</v>
      </c>
      <c r="T138" s="32"/>
      <c r="V138" s="46">
        <f>L138-M138-N138-O138</f>
        <v>0</v>
      </c>
    </row>
    <row r="139" spans="2:22" s="33" customFormat="1" ht="99.75" customHeight="1" x14ac:dyDescent="0.25">
      <c r="B139" s="15" t="str">
        <f>'1 lentelė'!$B138</f>
        <v>3.1.1.2.2</v>
      </c>
      <c r="C139" s="15" t="str">
        <f>'1 lentelė'!$C138</f>
        <v>R097724-220000-3104</v>
      </c>
      <c r="D139" s="15" t="str">
        <f>'1 lentelė'!$D138</f>
        <v xml:space="preserve">„Kūrybiškumą skatinančių edukacinių erdvių kūrimas Molėtų gimnazijos vidaus patalpose“ </v>
      </c>
      <c r="E139" s="15" t="str">
        <f>'1 lentelė'!$E138</f>
        <v>Molėtų rajono savivaldybės administracija</v>
      </c>
      <c r="F139" s="39" t="s">
        <v>66</v>
      </c>
      <c r="G139" s="39" t="s">
        <v>1090</v>
      </c>
      <c r="H139" s="32">
        <f>'1 lentelė'!$P138</f>
        <v>361401</v>
      </c>
      <c r="I139" s="32">
        <f>'1 lentelė'!$Q138</f>
        <v>282125</v>
      </c>
      <c r="J139" s="32">
        <f>'1 lentelė'!$R138</f>
        <v>24893</v>
      </c>
      <c r="K139" s="32">
        <f>'1 lentelė'!$S138</f>
        <v>54383</v>
      </c>
      <c r="L139" s="32">
        <v>361401</v>
      </c>
      <c r="M139" s="32">
        <v>282125</v>
      </c>
      <c r="N139" s="32">
        <v>24893</v>
      </c>
      <c r="O139" s="32">
        <v>54383</v>
      </c>
      <c r="P139" s="286">
        <v>163333</v>
      </c>
      <c r="Q139" s="31">
        <v>129905.48</v>
      </c>
      <c r="R139" s="31">
        <v>11462.07</v>
      </c>
      <c r="S139" s="286">
        <f>P139-Q139-R139</f>
        <v>21965.450000000004</v>
      </c>
      <c r="T139" s="32"/>
      <c r="V139" s="46">
        <f t="shared" ref="V139:V140" si="37">L139-M139-N139-O139</f>
        <v>0</v>
      </c>
    </row>
    <row r="140" spans="2:22" s="33" customFormat="1" ht="78.75" customHeight="1" x14ac:dyDescent="0.25">
      <c r="B140" s="15" t="str">
        <f>'1 lentelė'!$B139</f>
        <v>3.1.1.2.3</v>
      </c>
      <c r="C140" s="15" t="str">
        <f>'1 lentelė'!$C139</f>
        <v>R097724-220000-3105</v>
      </c>
      <c r="D140" s="15" t="str">
        <f>'1 lentelė'!$D139</f>
        <v xml:space="preserve">„Edukacinių erdvių kūrimas Ignalinos Česlovo Kudabos progimnazijoje“ </v>
      </c>
      <c r="E140" s="15" t="str">
        <f>'1 lentelė'!$E139</f>
        <v>Ignalinos rajono savivaldybės administracija</v>
      </c>
      <c r="F140" s="39" t="s">
        <v>66</v>
      </c>
      <c r="G140" s="39" t="s">
        <v>1090</v>
      </c>
      <c r="H140" s="32">
        <f>'1 lentelė'!$P139</f>
        <v>358491.09</v>
      </c>
      <c r="I140" s="32">
        <f>'1 lentelė'!$Q139</f>
        <v>272404</v>
      </c>
      <c r="J140" s="32">
        <f>'1 lentelė'!$R139</f>
        <v>24035.65</v>
      </c>
      <c r="K140" s="32">
        <f>'1 lentelė'!$S139</f>
        <v>62051.440000000024</v>
      </c>
      <c r="L140" s="32">
        <v>358491.08999999997</v>
      </c>
      <c r="M140" s="32">
        <v>272404</v>
      </c>
      <c r="N140" s="32">
        <v>24035.65</v>
      </c>
      <c r="O140" s="32">
        <f>L140-M140-N140</f>
        <v>62051.439999999966</v>
      </c>
      <c r="P140" s="32">
        <v>310032.23</v>
      </c>
      <c r="Q140" s="32">
        <v>238901.58</v>
      </c>
      <c r="R140" s="32">
        <v>21079.55</v>
      </c>
      <c r="S140" s="32">
        <f>P140-Q140-R140</f>
        <v>50051.099999999991</v>
      </c>
      <c r="T140" s="32"/>
      <c r="V140" s="46">
        <f t="shared" si="37"/>
        <v>0</v>
      </c>
    </row>
    <row r="141" spans="2:22" s="6" customFormat="1" ht="65.25" customHeight="1" x14ac:dyDescent="0.25">
      <c r="B141" s="48" t="str">
        <f>'1 lentelė'!$B140</f>
        <v>3.1.2</v>
      </c>
      <c r="C141" s="48"/>
      <c r="D141" s="48" t="str">
        <f>'1 lentelė'!$D140</f>
        <v>Uždavinys: Plėtoti neformalaus ugdymosi galimybes</v>
      </c>
      <c r="E141" s="48"/>
      <c r="F141" s="48"/>
      <c r="G141" s="48"/>
      <c r="H141" s="48"/>
      <c r="I141" s="48"/>
      <c r="J141" s="48"/>
      <c r="K141" s="48"/>
      <c r="L141" s="48"/>
      <c r="M141" s="48"/>
      <c r="N141" s="48"/>
      <c r="O141" s="48"/>
      <c r="P141" s="48"/>
      <c r="Q141" s="48"/>
      <c r="R141" s="48"/>
      <c r="S141" s="48"/>
      <c r="T141" s="26"/>
    </row>
    <row r="142" spans="2:22" s="6" customFormat="1" ht="72.75" customHeight="1" x14ac:dyDescent="0.25">
      <c r="B142" s="50" t="str">
        <f>'1 lentelė'!$B141</f>
        <v>3.1.2.1</v>
      </c>
      <c r="C142" s="248" t="s">
        <v>484</v>
      </c>
      <c r="D142" s="90" t="str">
        <f>'1 lentelė'!$D141</f>
        <v>Priemonė: Neformaliojo švietimo infrastruktūros tobulinimas</v>
      </c>
      <c r="E142" s="50"/>
      <c r="F142" s="50"/>
      <c r="G142" s="50"/>
      <c r="H142" s="279">
        <f>SUM(H143:H144)</f>
        <v>1666630.9</v>
      </c>
      <c r="I142" s="279">
        <f t="shared" ref="I142:S142" si="38">SUM(I143:I144)</f>
        <v>1404711</v>
      </c>
      <c r="J142" s="279">
        <f t="shared" si="38"/>
        <v>0</v>
      </c>
      <c r="K142" s="279">
        <f t="shared" si="38"/>
        <v>261919.89999999991</v>
      </c>
      <c r="L142" s="279">
        <f t="shared" si="38"/>
        <v>1666630.9</v>
      </c>
      <c r="M142" s="279">
        <f t="shared" si="38"/>
        <v>1404711</v>
      </c>
      <c r="N142" s="279">
        <f t="shared" si="38"/>
        <v>0</v>
      </c>
      <c r="O142" s="279">
        <f t="shared" si="38"/>
        <v>261919.9</v>
      </c>
      <c r="P142" s="279">
        <f t="shared" si="38"/>
        <v>802748.69</v>
      </c>
      <c r="Q142" s="279">
        <f t="shared" si="38"/>
        <v>716684.72</v>
      </c>
      <c r="R142" s="279">
        <f t="shared" si="38"/>
        <v>0</v>
      </c>
      <c r="S142" s="279">
        <f t="shared" si="38"/>
        <v>86063.97</v>
      </c>
      <c r="T142" s="35"/>
    </row>
    <row r="143" spans="2:22" s="33" customFormat="1" ht="135.75" customHeight="1" x14ac:dyDescent="0.25">
      <c r="B143" s="15" t="str">
        <f>'1 lentelė'!$B142</f>
        <v>3.1.2.1.1</v>
      </c>
      <c r="C143" s="15" t="str">
        <f>'1 lentelė'!$C142</f>
        <v>R097725-240000-3106</v>
      </c>
      <c r="D143" s="15" t="str">
        <f>'1 lentelė'!$D142</f>
        <v xml:space="preserve">Vaikų ir jaunimo neformalaus ugdymosi galimybių plėtra Anykščių kūno kultūros ir sporto centrui priklausančiuose A. Vienuolio progimnazijos patalpose </v>
      </c>
      <c r="E143" s="15" t="str">
        <f>'1 lentelė'!$E142</f>
        <v>Anykščių rajono savivaldybės administracija</v>
      </c>
      <c r="F143" s="35" t="s">
        <v>65</v>
      </c>
      <c r="G143" s="39" t="s">
        <v>1090</v>
      </c>
      <c r="H143" s="32">
        <f>'1 lentelė'!$P142</f>
        <v>320628</v>
      </c>
      <c r="I143" s="32">
        <f>'1 lentelė'!$Q142</f>
        <v>272533</v>
      </c>
      <c r="J143" s="32">
        <f>'1 lentelė'!$R142</f>
        <v>0</v>
      </c>
      <c r="K143" s="32">
        <f>'1 lentelė'!$S142</f>
        <v>48095</v>
      </c>
      <c r="L143" s="32">
        <v>320628</v>
      </c>
      <c r="M143" s="32">
        <v>272533</v>
      </c>
      <c r="N143" s="32">
        <v>0</v>
      </c>
      <c r="O143" s="32">
        <v>48095</v>
      </c>
      <c r="P143" s="32">
        <v>287549.39</v>
      </c>
      <c r="Q143" s="32">
        <v>251557.72</v>
      </c>
      <c r="R143" s="32">
        <v>0</v>
      </c>
      <c r="S143" s="32">
        <f>P143-Q143</f>
        <v>35991.670000000013</v>
      </c>
      <c r="T143" s="32"/>
      <c r="V143" s="46">
        <f>L143-M143-N143-O143</f>
        <v>0</v>
      </c>
    </row>
    <row r="144" spans="2:22" s="6" customFormat="1" ht="48" customHeight="1" x14ac:dyDescent="0.25">
      <c r="B144" s="15" t="str">
        <f>'1 lentelė'!$B143</f>
        <v xml:space="preserve">3.1.2.1.2 </v>
      </c>
      <c r="C144" s="15" t="str">
        <f>'1 lentelė'!$C143</f>
        <v>R097725-243200-3107</v>
      </c>
      <c r="D144" s="15" t="str">
        <f>'1 lentelė'!$D143</f>
        <v>Zarasų sporto centro erdvių atnaujinimas</v>
      </c>
      <c r="E144" s="15" t="str">
        <f>'1 lentelė'!$E143</f>
        <v xml:space="preserve">Zarasų rajono savivaldybės administracija </v>
      </c>
      <c r="F144" s="35" t="s">
        <v>30</v>
      </c>
      <c r="G144" s="39" t="s">
        <v>1090</v>
      </c>
      <c r="H144" s="29">
        <f>'1 lentelė'!$P143</f>
        <v>1346002.9</v>
      </c>
      <c r="I144" s="29">
        <f>'1 lentelė'!$Q143</f>
        <v>1132178</v>
      </c>
      <c r="J144" s="29">
        <f>'1 lentelė'!$R143</f>
        <v>0</v>
      </c>
      <c r="K144" s="29">
        <f>'1 lentelė'!$S143</f>
        <v>213824.89999999991</v>
      </c>
      <c r="L144" s="29">
        <v>1346002.9</v>
      </c>
      <c r="M144" s="29">
        <v>1132178</v>
      </c>
      <c r="N144" s="29">
        <v>0</v>
      </c>
      <c r="O144" s="29">
        <v>213824.9</v>
      </c>
      <c r="P144" s="29">
        <v>515199.3</v>
      </c>
      <c r="Q144" s="29">
        <v>465127</v>
      </c>
      <c r="R144" s="29">
        <v>0</v>
      </c>
      <c r="S144" s="29">
        <f>P144-Q144</f>
        <v>50072.299999999988</v>
      </c>
      <c r="T144" s="29"/>
      <c r="V144" s="44">
        <f>L144-M144-N144-O144</f>
        <v>0</v>
      </c>
    </row>
    <row r="145" spans="2:26" s="6" customFormat="1" ht="68.25" customHeight="1" x14ac:dyDescent="0.25">
      <c r="B145" s="52" t="str">
        <f>'1 lentelė'!$B144</f>
        <v xml:space="preserve">3.2 </v>
      </c>
      <c r="C145" s="52"/>
      <c r="D145" s="52" t="str">
        <f>'1 lentelė'!$D144</f>
        <v>Tikslas: Viešųjų paslaugų prieinamumo didinimas</v>
      </c>
      <c r="E145" s="52"/>
      <c r="F145" s="52"/>
      <c r="G145" s="52"/>
      <c r="H145" s="52"/>
      <c r="I145" s="52"/>
      <c r="J145" s="52"/>
      <c r="K145" s="52"/>
      <c r="L145" s="52"/>
      <c r="M145" s="52"/>
      <c r="N145" s="52"/>
      <c r="O145" s="52"/>
      <c r="P145" s="52"/>
      <c r="Q145" s="52"/>
      <c r="R145" s="52"/>
      <c r="S145" s="52"/>
      <c r="T145" s="23"/>
    </row>
    <row r="146" spans="2:26" s="6" customFormat="1" ht="78.75" customHeight="1" x14ac:dyDescent="0.25">
      <c r="B146" s="48" t="str">
        <f>'1 lentelė'!$B145</f>
        <v>3.2.1</v>
      </c>
      <c r="C146" s="48"/>
      <c r="D146" s="48" t="str">
        <f>'1 lentelė'!$D145</f>
        <v>Uždavinys: Užtikrinti kokybišką ir prieinamą sveikatos priežiūrą</v>
      </c>
      <c r="E146" s="48"/>
      <c r="F146" s="48"/>
      <c r="G146" s="48"/>
      <c r="H146" s="48"/>
      <c r="I146" s="48"/>
      <c r="J146" s="48"/>
      <c r="K146" s="48"/>
      <c r="L146" s="48"/>
      <c r="M146" s="48"/>
      <c r="N146" s="48"/>
      <c r="O146" s="48"/>
      <c r="P146" s="48"/>
      <c r="Q146" s="48"/>
      <c r="R146" s="48"/>
      <c r="S146" s="48"/>
      <c r="T146" s="26"/>
    </row>
    <row r="147" spans="2:26" s="6" customFormat="1" ht="126.75" customHeight="1" x14ac:dyDescent="0.25">
      <c r="B147" s="50" t="str">
        <f>'1 lentelė'!$B146</f>
        <v>3.2.1.1</v>
      </c>
      <c r="C147" s="248" t="s">
        <v>500</v>
      </c>
      <c r="D147" s="90" t="str">
        <f>'1 lentelė'!$D146</f>
        <v>Priemonė: Pirminės asmens ir visuomenės sveikatos priežiūros veiklos efektyvumo didinimas</v>
      </c>
      <c r="E147" s="50"/>
      <c r="F147" s="50"/>
      <c r="G147" s="50"/>
      <c r="H147" s="279">
        <f>SUM(H148:H156)</f>
        <v>1285055.21</v>
      </c>
      <c r="I147" s="279">
        <f t="shared" ref="I147:S147" si="39">SUM(I148:I156)</f>
        <v>1091409.42</v>
      </c>
      <c r="J147" s="279">
        <f t="shared" si="39"/>
        <v>93245.64</v>
      </c>
      <c r="K147" s="279">
        <f t="shared" si="39"/>
        <v>100400.15000000002</v>
      </c>
      <c r="L147" s="279">
        <f t="shared" si="39"/>
        <v>1263007.22</v>
      </c>
      <c r="M147" s="279">
        <f t="shared" si="39"/>
        <v>1072663.8599999999</v>
      </c>
      <c r="N147" s="279">
        <f t="shared" si="39"/>
        <v>91576.639999999999</v>
      </c>
      <c r="O147" s="279">
        <f t="shared" si="39"/>
        <v>98766.720000000001</v>
      </c>
      <c r="P147" s="279">
        <f t="shared" si="39"/>
        <v>785407.96999999986</v>
      </c>
      <c r="Q147" s="279">
        <f t="shared" si="39"/>
        <v>669811.12</v>
      </c>
      <c r="R147" s="279">
        <f t="shared" si="39"/>
        <v>56064.85</v>
      </c>
      <c r="S147" s="279">
        <f t="shared" si="39"/>
        <v>59532.000000000007</v>
      </c>
      <c r="T147" s="279"/>
    </row>
    <row r="148" spans="2:26" s="33" customFormat="1" ht="148.5" customHeight="1" x14ac:dyDescent="0.25">
      <c r="B148" s="15" t="str">
        <f>'1 lentelė'!$B147</f>
        <v>3.2.1.1.1</v>
      </c>
      <c r="C148" s="15" t="str">
        <f>'1 lentelė'!$C147</f>
        <v>R096609-270000-3236</v>
      </c>
      <c r="D148" s="15" t="str">
        <f>'1 lentelė'!$D147</f>
        <v>Anykščių rajono savivaldybės gyventojų sveikatos stiprinimas gerinant pirminės sveikatos priežiūros paslaugų prieinamumą ir kokybę</v>
      </c>
      <c r="E148" s="15" t="str">
        <f>'1 lentelė'!$E147</f>
        <v>VšĮ Anykščių rajono savivaldybės pirminės sveikatos priežiūros centras</v>
      </c>
      <c r="F148" s="39" t="s">
        <v>66</v>
      </c>
      <c r="G148" s="39" t="s">
        <v>1090</v>
      </c>
      <c r="H148" s="32">
        <f>'1 lentelė'!$P147</f>
        <v>244033.66</v>
      </c>
      <c r="I148" s="32">
        <f>'1 lentelė'!$Q147</f>
        <v>207428.61</v>
      </c>
      <c r="J148" s="32">
        <f>'1 lentelė'!$R147</f>
        <v>18302.52</v>
      </c>
      <c r="K148" s="32">
        <f>'1 lentelė'!$S147</f>
        <v>18302.530000000017</v>
      </c>
      <c r="L148" s="32">
        <v>244033.66</v>
      </c>
      <c r="M148" s="32">
        <v>207428.61</v>
      </c>
      <c r="N148" s="32">
        <v>18302.52</v>
      </c>
      <c r="O148" s="32">
        <f>L148-M148-N148</f>
        <v>18302.530000000017</v>
      </c>
      <c r="P148" s="286">
        <v>243618.41</v>
      </c>
      <c r="Q148" s="32">
        <v>207075.65</v>
      </c>
      <c r="R148" s="32">
        <v>18271.38</v>
      </c>
      <c r="S148" s="286">
        <f>P148-Q148-R148</f>
        <v>18271.380000000008</v>
      </c>
      <c r="T148" s="75"/>
      <c r="V148" s="46">
        <f>L148-M148-N148-O148</f>
        <v>0</v>
      </c>
      <c r="W148" s="46">
        <v>0</v>
      </c>
      <c r="X148" s="46" t="s">
        <v>892</v>
      </c>
      <c r="Y148" s="46">
        <v>0</v>
      </c>
      <c r="Z148" s="46" t="s">
        <v>888</v>
      </c>
    </row>
    <row r="149" spans="2:26" s="33" customFormat="1" ht="81.75" customHeight="1" x14ac:dyDescent="0.25">
      <c r="B149" s="15" t="str">
        <f>'1 lentelė'!$B148</f>
        <v>3.2.1.1.2</v>
      </c>
      <c r="C149" s="15" t="str">
        <f>'1 lentelė'!$C148</f>
        <v>R096609-270000-3237</v>
      </c>
      <c r="D149" s="15" t="str">
        <f>'1 lentelė'!$D148</f>
        <v>Pirminės sveikatos paslaugų gerinimas VšĮ Ignalinos rajono poliklinikoje</v>
      </c>
      <c r="E149" s="15" t="str">
        <f>'1 lentelė'!$E148</f>
        <v>VšĮ Ignalinos rajono poliklinika</v>
      </c>
      <c r="F149" s="39" t="s">
        <v>66</v>
      </c>
      <c r="G149" s="39" t="s">
        <v>1090</v>
      </c>
      <c r="H149" s="32">
        <f>I149+J149+K149</f>
        <v>106554.33</v>
      </c>
      <c r="I149" s="32">
        <f>'1 lentelė'!$Q148</f>
        <v>90571.18</v>
      </c>
      <c r="J149" s="32">
        <f>'1 lentelė'!$R148</f>
        <v>7409.66</v>
      </c>
      <c r="K149" s="32">
        <f>'1 lentelė'!$S148</f>
        <v>8573.4900000000089</v>
      </c>
      <c r="L149" s="32">
        <v>106554.32999999999</v>
      </c>
      <c r="M149" s="32">
        <v>90571.18</v>
      </c>
      <c r="N149" s="32">
        <v>7409.66</v>
      </c>
      <c r="O149" s="32">
        <f>L149-M149-N149</f>
        <v>8573.4899999999943</v>
      </c>
      <c r="P149" s="349">
        <v>103014.25</v>
      </c>
      <c r="Q149" s="349">
        <v>87562.11</v>
      </c>
      <c r="R149" s="350">
        <v>7163.49</v>
      </c>
      <c r="S149" s="349">
        <f>P149-Q149-R149</f>
        <v>8288.65</v>
      </c>
      <c r="T149" s="75"/>
      <c r="V149" s="46">
        <f t="shared" ref="V149:V155" si="40">L149-M149-N149-O149</f>
        <v>0</v>
      </c>
      <c r="W149" s="46">
        <v>8573.49</v>
      </c>
      <c r="X149" s="46"/>
      <c r="Y149" s="46">
        <v>0</v>
      </c>
      <c r="Z149" s="46"/>
    </row>
    <row r="150" spans="2:26" s="33" customFormat="1" ht="111.75" customHeight="1" x14ac:dyDescent="0.25">
      <c r="B150" s="15" t="str">
        <f>'1 lentelė'!$B149</f>
        <v>3.2.1.1.3</v>
      </c>
      <c r="C150" s="15" t="str">
        <f>'1 lentelė'!$C149</f>
        <v>R096609-270000-3238</v>
      </c>
      <c r="D150" s="15" t="str">
        <f>'1 lentelė'!$D149</f>
        <v>UAB „Ignalinos sveikatos centras“ pirminės asmens sveikatos priežiūros paslaugų teikimo efektyvumo didinimas</v>
      </c>
      <c r="E150" s="15" t="str">
        <f>'1 lentelė'!$E149</f>
        <v>UAB Ignalinos sveikatos centras</v>
      </c>
      <c r="F150" s="39" t="s">
        <v>66</v>
      </c>
      <c r="G150" s="39" t="s">
        <v>880</v>
      </c>
      <c r="H150" s="32">
        <f>'1 lentelė'!P149</f>
        <v>86991.45</v>
      </c>
      <c r="I150" s="32">
        <f>'1 lentelė'!$Q149</f>
        <v>73942.73</v>
      </c>
      <c r="J150" s="32">
        <f>'1 lentelė'!$R149</f>
        <v>6524.36</v>
      </c>
      <c r="K150" s="32">
        <f>'1 lentelė'!$S149</f>
        <v>6524.3600000000015</v>
      </c>
      <c r="L150" s="32">
        <v>86991.46</v>
      </c>
      <c r="M150" s="32">
        <v>73942.740000000005</v>
      </c>
      <c r="N150" s="32">
        <v>6524.36</v>
      </c>
      <c r="O150" s="32">
        <f>Y150</f>
        <v>6524.36</v>
      </c>
      <c r="P150" s="286">
        <v>86991.45</v>
      </c>
      <c r="Q150" s="32">
        <v>73942.73</v>
      </c>
      <c r="R150" s="32">
        <v>6524.36</v>
      </c>
      <c r="S150" s="286">
        <f>P150-Q150-R150</f>
        <v>6524.3600000000015</v>
      </c>
      <c r="T150" s="32" t="s">
        <v>1231</v>
      </c>
      <c r="V150" s="46">
        <f t="shared" si="40"/>
        <v>0</v>
      </c>
      <c r="W150" s="46">
        <v>0</v>
      </c>
      <c r="X150" s="46"/>
      <c r="Y150" s="46">
        <v>6524.36</v>
      </c>
      <c r="Z150" s="46"/>
    </row>
    <row r="151" spans="2:26" s="33" customFormat="1" ht="122.25" customHeight="1" x14ac:dyDescent="0.25">
      <c r="B151" s="15" t="str">
        <f>'1 lentelė'!$B150</f>
        <v>3.2.1.1.4</v>
      </c>
      <c r="C151" s="15" t="str">
        <f>'1 lentelė'!$C150</f>
        <v>R096609-270000-3239</v>
      </c>
      <c r="D151" s="15" t="str">
        <f>'1 lentelė'!$D150</f>
        <v>Molėtų r. pirminės sveikatos priežiūros centro veiklos efektyvumo didinimas</v>
      </c>
      <c r="E151" s="15" t="str">
        <f>'1 lentelė'!$E150</f>
        <v>Pareiškėjas Molėtų rajono savivaldybės administracija, partneris VšĮ Molėtų rajono pirminės sveikatos priežiūros centras</v>
      </c>
      <c r="F151" s="39" t="s">
        <v>66</v>
      </c>
      <c r="G151" s="39" t="s">
        <v>1090</v>
      </c>
      <c r="H151" s="32">
        <f>'1 lentelė'!$P150</f>
        <v>180196.81</v>
      </c>
      <c r="I151" s="32">
        <f>'1 lentelė'!$Q150</f>
        <v>153167.29</v>
      </c>
      <c r="J151" s="32">
        <f>'1 lentelė'!$R150</f>
        <v>13514.75</v>
      </c>
      <c r="K151" s="32">
        <f>'1 lentelė'!$S150</f>
        <v>13514.76999999999</v>
      </c>
      <c r="L151" s="32">
        <v>180196.81</v>
      </c>
      <c r="M151" s="32">
        <v>153167.29</v>
      </c>
      <c r="N151" s="32">
        <v>13514.75</v>
      </c>
      <c r="O151" s="32">
        <v>13514.77</v>
      </c>
      <c r="P151" s="32">
        <v>50316.42</v>
      </c>
      <c r="Q151" s="32">
        <v>43802.74</v>
      </c>
      <c r="R151" s="32">
        <v>3864.95</v>
      </c>
      <c r="S151" s="32">
        <f>P151-Q151-R151</f>
        <v>2648.7300000000005</v>
      </c>
      <c r="T151" s="75"/>
      <c r="V151" s="46">
        <f t="shared" si="40"/>
        <v>0</v>
      </c>
      <c r="W151" s="46">
        <v>0</v>
      </c>
      <c r="X151" s="46"/>
      <c r="Y151" s="46">
        <v>0</v>
      </c>
      <c r="Z151" s="46"/>
    </row>
    <row r="152" spans="2:26" s="33" customFormat="1" ht="89.25" customHeight="1" x14ac:dyDescent="0.25">
      <c r="B152" s="15" t="str">
        <f>'1 lentelė'!$B151</f>
        <v>3.2.1.1.5</v>
      </c>
      <c r="C152" s="15" t="str">
        <f>'1 lentelė'!$C151</f>
        <v>R096609-270000-3240</v>
      </c>
      <c r="D152" s="15" t="str">
        <f>'1 lentelė'!$D151</f>
        <v>Pirminės asmens sveikatos priežiūros veiklos efektyvumo didinimas Utenos rajone</v>
      </c>
      <c r="E152" s="15" t="str">
        <f>'1 lentelė'!$E151</f>
        <v>VšĮ Utenos pirminės sveikatos priežiūros centras</v>
      </c>
      <c r="F152" s="39" t="s">
        <v>66</v>
      </c>
      <c r="G152" s="39" t="s">
        <v>1090</v>
      </c>
      <c r="H152" s="32">
        <f>'1 lentelė'!$P151</f>
        <v>294117.65000000002</v>
      </c>
      <c r="I152" s="32">
        <f>'1 lentelė'!$Q151</f>
        <v>250000</v>
      </c>
      <c r="J152" s="32">
        <f>'1 lentelė'!$R151</f>
        <v>22058.82</v>
      </c>
      <c r="K152" s="32">
        <f>'1 lentelė'!$S151</f>
        <v>22058.830000000024</v>
      </c>
      <c r="L152" s="32">
        <v>294117.65000000002</v>
      </c>
      <c r="M152" s="32">
        <v>250000</v>
      </c>
      <c r="N152" s="32">
        <v>22058.82</v>
      </c>
      <c r="O152" s="32">
        <v>22058.83</v>
      </c>
      <c r="P152" s="32">
        <v>54435.71</v>
      </c>
      <c r="Q152" s="32">
        <v>46270.35</v>
      </c>
      <c r="R152" s="32">
        <v>4082.68</v>
      </c>
      <c r="S152" s="32">
        <f>P152-Q152-R152</f>
        <v>4082.6800000000007</v>
      </c>
      <c r="T152" s="75"/>
      <c r="V152" s="46">
        <f t="shared" si="40"/>
        <v>0</v>
      </c>
      <c r="W152" s="46">
        <v>0</v>
      </c>
      <c r="X152" s="46"/>
      <c r="Y152" s="46">
        <v>0</v>
      </c>
      <c r="Z152" s="46"/>
    </row>
    <row r="153" spans="2:26" s="33" customFormat="1" ht="63" customHeight="1" x14ac:dyDescent="0.25">
      <c r="B153" s="15" t="str">
        <f>'1 lentelė'!$B152</f>
        <v>3.2.1.1.6</v>
      </c>
      <c r="C153" s="15" t="str">
        <f>'1 lentelė'!$C152</f>
        <v>R096609-270000-3241</v>
      </c>
      <c r="D153" s="15" t="str">
        <f>'1 lentelė'!$D152</f>
        <v>UAB "Dilina" teikiamų paslaugų efektyvumo didinimas</v>
      </c>
      <c r="E153" s="15" t="str">
        <f>'1 lentelė'!$E152</f>
        <v>UAB "Dilina"</v>
      </c>
      <c r="F153" s="39" t="s">
        <v>66</v>
      </c>
      <c r="G153" s="39" t="s">
        <v>880</v>
      </c>
      <c r="H153" s="32">
        <f>'1 lentelė'!$P152</f>
        <v>34024.199999999997</v>
      </c>
      <c r="I153" s="32">
        <f>'1 lentelė'!$Q152</f>
        <v>28033.57</v>
      </c>
      <c r="J153" s="32">
        <f>'1 lentelė'!$R152</f>
        <v>0</v>
      </c>
      <c r="K153" s="32">
        <f>'1 lentelė'!$S152</f>
        <v>5990.6299999999974</v>
      </c>
      <c r="L153" s="32">
        <v>34226.199999999997</v>
      </c>
      <c r="M153" s="32">
        <v>28200</v>
      </c>
      <c r="N153" s="32">
        <v>0</v>
      </c>
      <c r="O153" s="32">
        <f>Y153</f>
        <v>6026.2</v>
      </c>
      <c r="P153" s="32">
        <f>Q153+R153+S153</f>
        <v>34024.199999999997</v>
      </c>
      <c r="Q153" s="32">
        <v>28033.57</v>
      </c>
      <c r="R153" s="32">
        <v>0</v>
      </c>
      <c r="S153" s="32">
        <v>5990.63</v>
      </c>
      <c r="T153" s="32" t="s">
        <v>1187</v>
      </c>
      <c r="V153" s="46">
        <f t="shared" si="40"/>
        <v>0</v>
      </c>
      <c r="W153" s="46">
        <v>0</v>
      </c>
      <c r="X153" s="46"/>
      <c r="Y153" s="46">
        <v>6026.2</v>
      </c>
      <c r="Z153" s="46"/>
    </row>
    <row r="154" spans="2:26" s="33" customFormat="1" ht="114" customHeight="1" x14ac:dyDescent="0.25">
      <c r="B154" s="15" t="str">
        <f>'1 lentelė'!$B153</f>
        <v>3.2.1.1.7</v>
      </c>
      <c r="C154" s="15" t="str">
        <f>'1 lentelė'!$C153</f>
        <v>R096609-270000-3242</v>
      </c>
      <c r="D154" s="15" t="str">
        <f>'1 lentelė'!$D153</f>
        <v>Pirminės asmens sveikatos priežiūros paslaugų kokybės ir prieinamumo gerinimas Zarasų rajono savivaldybėje</v>
      </c>
      <c r="E154" s="15" t="str">
        <f>'1 lentelė'!$E153</f>
        <v>Zarasų rajono savivaldybės VšĮ Zarasų pirminės sveikatos priežiūros centras</v>
      </c>
      <c r="F154" s="39" t="s">
        <v>66</v>
      </c>
      <c r="G154" s="39" t="s">
        <v>1090</v>
      </c>
      <c r="H154" s="32">
        <f>'1 lentelė'!$P153</f>
        <v>153580</v>
      </c>
      <c r="I154" s="32">
        <f>'1 lentelė'!$Q153</f>
        <v>130543</v>
      </c>
      <c r="J154" s="32">
        <f>'1 lentelė'!$R153</f>
        <v>11518.5</v>
      </c>
      <c r="K154" s="32">
        <f>'1 lentelė'!$S153</f>
        <v>11518.5</v>
      </c>
      <c r="L154" s="32">
        <v>153580</v>
      </c>
      <c r="M154" s="32">
        <v>130543</v>
      </c>
      <c r="N154" s="32">
        <v>11518.5</v>
      </c>
      <c r="O154" s="32">
        <f>W154</f>
        <v>11518.5</v>
      </c>
      <c r="P154" s="32">
        <v>103203.19</v>
      </c>
      <c r="Q154" s="32">
        <v>87722.71</v>
      </c>
      <c r="R154" s="32">
        <v>7740.24</v>
      </c>
      <c r="S154" s="32">
        <f>P154-Q154-R154</f>
        <v>7740.2399999999961</v>
      </c>
      <c r="T154" s="32"/>
      <c r="V154" s="46">
        <f t="shared" si="40"/>
        <v>0</v>
      </c>
      <c r="W154" s="46">
        <v>11518.5</v>
      </c>
      <c r="X154" s="46"/>
      <c r="Y154" s="46">
        <v>0</v>
      </c>
      <c r="Z154" s="46"/>
    </row>
    <row r="155" spans="2:26" s="33" customFormat="1" ht="125.25" customHeight="1" x14ac:dyDescent="0.25">
      <c r="B155" s="15" t="str">
        <f>'1 lentelė'!$B154</f>
        <v>3.2.1.1.8</v>
      </c>
      <c r="C155" s="15" t="str">
        <f>'1 lentelė'!$C154</f>
        <v>R096609-270000-3243</v>
      </c>
      <c r="D155" s="15" t="str">
        <f>'1 lentelė'!$D154</f>
        <v>Pirminės asmens sveikatos priežiūros veiklos efektyvumo didinimas VšĮ Visagino  pirminės sveikatos priežiūros centre</v>
      </c>
      <c r="E155" s="15" t="str">
        <f>'1 lentelė'!$E154</f>
        <v>VšĮ Visagino pirminės sveikatos priežiūros centras</v>
      </c>
      <c r="F155" s="39" t="s">
        <v>66</v>
      </c>
      <c r="G155" s="39" t="s">
        <v>1090</v>
      </c>
      <c r="H155" s="32">
        <f>'1 lentelė'!$P154</f>
        <v>163307.10999999999</v>
      </c>
      <c r="I155" s="32">
        <f>'1 lentelė'!$Q154</f>
        <v>138811.04</v>
      </c>
      <c r="J155" s="32">
        <f>'1 lentelė'!$R154</f>
        <v>12248.03</v>
      </c>
      <c r="K155" s="32">
        <f>'1 lentelė'!$S154</f>
        <v>12248.039999999977</v>
      </c>
      <c r="L155" s="32">
        <v>163307.11000000002</v>
      </c>
      <c r="M155" s="32">
        <v>138811.04</v>
      </c>
      <c r="N155" s="32">
        <v>12248.03</v>
      </c>
      <c r="O155" s="32">
        <f>W155</f>
        <v>12248.04</v>
      </c>
      <c r="P155" s="32">
        <v>109804.34</v>
      </c>
      <c r="Q155" s="32">
        <v>95401.26</v>
      </c>
      <c r="R155" s="32">
        <v>8417.75</v>
      </c>
      <c r="S155" s="32">
        <f>P155-Q155-R155</f>
        <v>5985.3300000000017</v>
      </c>
      <c r="T155" s="32"/>
      <c r="V155" s="46">
        <f t="shared" si="40"/>
        <v>0</v>
      </c>
      <c r="W155" s="46">
        <v>12248.04</v>
      </c>
      <c r="X155" s="46"/>
      <c r="Y155" s="46">
        <v>0</v>
      </c>
      <c r="Z155" s="46"/>
    </row>
    <row r="156" spans="2:26" s="33" customFormat="1" ht="90" customHeight="1" x14ac:dyDescent="0.25">
      <c r="B156" s="15" t="str">
        <f>'1 lentelė'!$B155</f>
        <v>3.2.1.1.9</v>
      </c>
      <c r="C156" s="15" t="str">
        <f>'1 lentelė'!$C155</f>
        <v>R096609-270000-3244</v>
      </c>
      <c r="D156" s="15" t="str">
        <f>'1 lentelė'!$D155</f>
        <v>Asmens sveikatos priežiūros  kokybės gerinimas Utenos rajono gyventojams</v>
      </c>
      <c r="E156" s="15" t="str">
        <f>'1 lentelė'!$E155</f>
        <v>UAB šeimos klinika "Hiperika"</v>
      </c>
      <c r="F156" s="39" t="s">
        <v>66</v>
      </c>
      <c r="G156" s="39"/>
      <c r="H156" s="32">
        <f>'1 lentelė'!$P155</f>
        <v>22250</v>
      </c>
      <c r="I156" s="32">
        <f>'1 lentelė'!$Q155</f>
        <v>18912</v>
      </c>
      <c r="J156" s="32">
        <f>'1 lentelė'!$R155</f>
        <v>1669</v>
      </c>
      <c r="K156" s="32">
        <f>'1 lentelė'!$S155</f>
        <v>1669</v>
      </c>
      <c r="L156" s="32">
        <v>0</v>
      </c>
      <c r="M156" s="32">
        <v>0</v>
      </c>
      <c r="N156" s="32">
        <v>0</v>
      </c>
      <c r="O156" s="32">
        <v>0</v>
      </c>
      <c r="P156" s="300">
        <v>0</v>
      </c>
      <c r="Q156" s="32">
        <v>0</v>
      </c>
      <c r="R156" s="32">
        <v>0</v>
      </c>
      <c r="S156" s="300">
        <f>P156-Q156-R156</f>
        <v>0</v>
      </c>
      <c r="T156" s="32"/>
      <c r="V156" s="46"/>
      <c r="W156" s="46"/>
      <c r="X156" s="46"/>
      <c r="Y156" s="46"/>
      <c r="Z156" s="46"/>
    </row>
    <row r="157" spans="2:26" s="33" customFormat="1" ht="161.25" customHeight="1" x14ac:dyDescent="0.25">
      <c r="B157" s="50" t="str">
        <f>'1 lentelė'!$B156</f>
        <v>3.2.1.2</v>
      </c>
      <c r="C157" s="248" t="s">
        <v>537</v>
      </c>
      <c r="D157" s="90" t="str">
        <f>'1 lentelė'!$D156</f>
        <v>Priemonė: Priemonių, gerinančių ambulatorinių sveikatos priežiūros paslaugų prieinamumą tuberkulioze sergantiems asmenims, įgyvendinimas</v>
      </c>
      <c r="E157" s="50"/>
      <c r="F157" s="50"/>
      <c r="G157" s="50"/>
      <c r="H157" s="279">
        <f>SUM(H158:H163)</f>
        <v>41354.43</v>
      </c>
      <c r="I157" s="279">
        <f t="shared" ref="I157:S157" si="41">SUM(I158:I163)</f>
        <v>35150.640000000007</v>
      </c>
      <c r="J157" s="279">
        <f t="shared" si="41"/>
        <v>3100.69</v>
      </c>
      <c r="K157" s="279">
        <f t="shared" si="41"/>
        <v>3103.1</v>
      </c>
      <c r="L157" s="279">
        <f t="shared" si="41"/>
        <v>41354.43</v>
      </c>
      <c r="M157" s="279">
        <f t="shared" si="41"/>
        <v>35150.639999999999</v>
      </c>
      <c r="N157" s="279">
        <f t="shared" si="41"/>
        <v>3100.69</v>
      </c>
      <c r="O157" s="279">
        <f t="shared" si="41"/>
        <v>3103.1000000000004</v>
      </c>
      <c r="P157" s="279">
        <f t="shared" si="41"/>
        <v>9251.4399999999987</v>
      </c>
      <c r="Q157" s="279">
        <f t="shared" si="41"/>
        <v>8115.73</v>
      </c>
      <c r="R157" s="279">
        <f t="shared" si="41"/>
        <v>715.9</v>
      </c>
      <c r="S157" s="279">
        <f t="shared" si="41"/>
        <v>419.81000000000034</v>
      </c>
      <c r="T157" s="35"/>
    </row>
    <row r="158" spans="2:26" s="33" customFormat="1" ht="63.75" customHeight="1" x14ac:dyDescent="0.25">
      <c r="B158" s="15" t="str">
        <f>'1 lentelė'!$B157</f>
        <v>3.2.1.2.1</v>
      </c>
      <c r="C158" s="15" t="str">
        <f>'1 lentelė'!$C157</f>
        <v>R096615-470000-3201</v>
      </c>
      <c r="D158" s="15" t="str">
        <f>'1 lentelė'!$D157</f>
        <v>Tuberkuliozės gydymo skatinimas Anykščių rajono
savivaldybėje</v>
      </c>
      <c r="E158" s="15" t="str">
        <f>'1 lentelė'!$E157</f>
        <v>Anykščių rajono savivaldybės administracija</v>
      </c>
      <c r="F158" s="39" t="s">
        <v>66</v>
      </c>
      <c r="G158" s="39" t="s">
        <v>1090</v>
      </c>
      <c r="H158" s="32">
        <f>'1 lentelė'!$P157</f>
        <v>13180</v>
      </c>
      <c r="I158" s="32">
        <f>'1 lentelė'!$Q157</f>
        <v>11202</v>
      </c>
      <c r="J158" s="32">
        <f>'1 lentelė'!$R157</f>
        <v>988</v>
      </c>
      <c r="K158" s="32">
        <f>'1 lentelė'!$S157</f>
        <v>990</v>
      </c>
      <c r="L158" s="32">
        <v>13180</v>
      </c>
      <c r="M158" s="32">
        <v>11202</v>
      </c>
      <c r="N158" s="32">
        <v>988</v>
      </c>
      <c r="O158" s="32">
        <v>990</v>
      </c>
      <c r="P158" s="32">
        <v>5793.33</v>
      </c>
      <c r="Q158" s="31">
        <v>5176.32</v>
      </c>
      <c r="R158" s="32">
        <v>456.55</v>
      </c>
      <c r="S158" s="32">
        <f t="shared" ref="S158:S163" si="42">P158-Q158-R158</f>
        <v>160.46000000000021</v>
      </c>
      <c r="T158" s="32"/>
      <c r="V158" s="46">
        <f>L158-M158-N158-O158</f>
        <v>0</v>
      </c>
      <c r="W158" s="46"/>
      <c r="X158" s="46"/>
      <c r="Y158" s="46"/>
    </row>
    <row r="159" spans="2:26" s="33" customFormat="1" ht="66" customHeight="1" x14ac:dyDescent="0.25">
      <c r="B159" s="15" t="str">
        <f>'1 lentelė'!$B158</f>
        <v>3.2.1.2.2</v>
      </c>
      <c r="C159" s="15" t="str">
        <f>'1 lentelė'!$C158</f>
        <v>R096615-470000-3202</v>
      </c>
      <c r="D159" s="15" t="str">
        <f>'1 lentelė'!$D158</f>
        <v>Sergamumo ir mirtingumo mažinimas nuo tuberkuliozės Ignalinos rajone</v>
      </c>
      <c r="E159" s="15" t="str">
        <f>'1 lentelė'!$E158</f>
        <v>Ignalinos rajono poliklinika</v>
      </c>
      <c r="F159" s="39" t="s">
        <v>66</v>
      </c>
      <c r="G159" s="39" t="s">
        <v>1090</v>
      </c>
      <c r="H159" s="32">
        <f>'1 lentelė'!$P158</f>
        <v>6134.9299999999994</v>
      </c>
      <c r="I159" s="32">
        <f>'1 lentelė'!$Q158</f>
        <v>5214.6900000000005</v>
      </c>
      <c r="J159" s="32">
        <f>'1 lentelė'!$R158</f>
        <v>460.12</v>
      </c>
      <c r="K159" s="32">
        <f>'1 lentelė'!$S158</f>
        <v>460.11999999999887</v>
      </c>
      <c r="L159" s="32">
        <v>6134.9299999999994</v>
      </c>
      <c r="M159" s="32">
        <v>5214.6899999999996</v>
      </c>
      <c r="N159" s="32">
        <v>460.12</v>
      </c>
      <c r="O159" s="32">
        <v>460.12</v>
      </c>
      <c r="P159" s="32">
        <v>1278.48</v>
      </c>
      <c r="Q159" s="32">
        <v>1086.71</v>
      </c>
      <c r="R159" s="32">
        <v>95.89</v>
      </c>
      <c r="S159" s="32">
        <f t="shared" si="42"/>
        <v>95.879999999999981</v>
      </c>
      <c r="T159" s="32"/>
      <c r="V159" s="46">
        <f t="shared" ref="V159:V163" si="43">L159-M159-N159-O159</f>
        <v>0</v>
      </c>
      <c r="W159" s="46"/>
      <c r="X159" s="46"/>
      <c r="Y159" s="46"/>
    </row>
    <row r="160" spans="2:26" s="33" customFormat="1" ht="99.75" customHeight="1" x14ac:dyDescent="0.25">
      <c r="B160" s="15" t="str">
        <f>'1 lentelė'!$B159</f>
        <v>3.2.1.2.3</v>
      </c>
      <c r="C160" s="15" t="str">
        <f>'1 lentelė'!$C159</f>
        <v>R096615-470000-3203</v>
      </c>
      <c r="D160" s="15" t="str">
        <f>'1 lentelė'!$D159</f>
        <v>Paslaugų prieinamumo priemonių tuberkulioze sergantiems asmenims įgyvendinimas  Molėtų rajone</v>
      </c>
      <c r="E160" s="15" t="str">
        <f>'1 lentelė'!$E159</f>
        <v>Viešoji įstaiga Molėtų r. pirminės sveikatos priežiūros centras</v>
      </c>
      <c r="F160" s="39" t="s">
        <v>66</v>
      </c>
      <c r="G160" s="39" t="s">
        <v>1090</v>
      </c>
      <c r="H160" s="32">
        <f>'1 lentelė'!$P159</f>
        <v>7725.47</v>
      </c>
      <c r="I160" s="32">
        <f>'1 lentelė'!$Q159</f>
        <v>6566.65</v>
      </c>
      <c r="J160" s="32">
        <f>'1 lentelė'!$R159</f>
        <v>579.4</v>
      </c>
      <c r="K160" s="32">
        <f>'1 lentelė'!$S159</f>
        <v>579.42000000000064</v>
      </c>
      <c r="L160" s="32">
        <v>7725.47</v>
      </c>
      <c r="M160" s="32">
        <v>6566.65</v>
      </c>
      <c r="N160" s="53">
        <v>579.4</v>
      </c>
      <c r="O160" s="32">
        <f>X160</f>
        <v>579.42000000000064</v>
      </c>
      <c r="P160" s="32">
        <v>1180.6300000000001</v>
      </c>
      <c r="Q160" s="32">
        <v>1003.54</v>
      </c>
      <c r="R160" s="32">
        <v>88.55</v>
      </c>
      <c r="S160" s="32">
        <f t="shared" si="42"/>
        <v>88.540000000000148</v>
      </c>
      <c r="T160" s="32"/>
      <c r="V160" s="47">
        <f>L160-M160-N160-O160</f>
        <v>0</v>
      </c>
      <c r="W160" s="46"/>
      <c r="X160" s="46">
        <v>579.42000000000064</v>
      </c>
      <c r="Y160" s="46" t="s">
        <v>892</v>
      </c>
    </row>
    <row r="161" spans="2:25" s="33" customFormat="1" ht="147.75" customHeight="1" x14ac:dyDescent="0.25">
      <c r="B161" s="15" t="str">
        <f>'1 lentelė'!$B160</f>
        <v>3.2.1.2.4</v>
      </c>
      <c r="C161" s="15" t="str">
        <f>'1 lentelė'!$C160</f>
        <v>R096615-470000-3204</v>
      </c>
      <c r="D161" s="15" t="str">
        <f>'1 lentelė'!$D160</f>
        <v>Priemonių, gerinančių ambulatorinių sveikatos priežiūros paslaugų prieinamumą tuberkulioze sergantiems asmenims, įgyvendinimas Utenos rajone</v>
      </c>
      <c r="E161" s="15" t="str">
        <f>'1 lentelė'!$E160</f>
        <v>VšĮ Utenos pirminės sveikatos priežiūros centras</v>
      </c>
      <c r="F161" s="39" t="s">
        <v>66</v>
      </c>
      <c r="G161" s="39" t="s">
        <v>1090</v>
      </c>
      <c r="H161" s="32">
        <f>'1 lentelė'!$P160</f>
        <v>5453.27</v>
      </c>
      <c r="I161" s="32">
        <f>'1 lentelė'!$Q160</f>
        <v>4635.28</v>
      </c>
      <c r="J161" s="32">
        <f>'1 lentelė'!$R160</f>
        <v>408.99</v>
      </c>
      <c r="K161" s="32">
        <f>'1 lentelė'!$S160</f>
        <v>409.00000000000068</v>
      </c>
      <c r="L161" s="32">
        <v>5453.2699999999995</v>
      </c>
      <c r="M161" s="32">
        <v>4635.28</v>
      </c>
      <c r="N161" s="32">
        <v>408.99</v>
      </c>
      <c r="O161" s="32">
        <v>409</v>
      </c>
      <c r="P161" s="32">
        <v>567</v>
      </c>
      <c r="Q161" s="32">
        <v>481.95</v>
      </c>
      <c r="R161" s="32">
        <v>42.52</v>
      </c>
      <c r="S161" s="32">
        <f t="shared" si="42"/>
        <v>42.530000000000008</v>
      </c>
      <c r="T161" s="75"/>
      <c r="V161" s="46">
        <f t="shared" si="43"/>
        <v>0</v>
      </c>
      <c r="W161" s="46"/>
      <c r="X161" s="46"/>
      <c r="Y161" s="46"/>
    </row>
    <row r="162" spans="2:25" s="6" customFormat="1" ht="77.25" customHeight="1" x14ac:dyDescent="0.25">
      <c r="B162" s="15" t="str">
        <f>'1 lentelė'!$B161</f>
        <v>3.2.1.2.5</v>
      </c>
      <c r="C162" s="15" t="str">
        <f>'1 lentelė'!$C161</f>
        <v>R096615-470000-3205</v>
      </c>
      <c r="D162" s="15" t="str">
        <f>'1 lentelė'!$D161</f>
        <v>Sergamumo ir mirtingumo mažinimas nuo tuberkuliozės Visagino savivaldybėje</v>
      </c>
      <c r="E162" s="15" t="str">
        <f>'1 lentelė'!$E161</f>
        <v>VšĮ Visagino pirminės sveikatos priežiūros centras</v>
      </c>
      <c r="F162" s="39" t="s">
        <v>66</v>
      </c>
      <c r="G162" s="39" t="s">
        <v>1090</v>
      </c>
      <c r="H162" s="29">
        <f>'1 lentelė'!$P161</f>
        <v>2271.7600000000002</v>
      </c>
      <c r="I162" s="29">
        <f>'1 lentelė'!$Q161</f>
        <v>1931.38</v>
      </c>
      <c r="J162" s="29">
        <f>'1 lentelė'!$R161</f>
        <v>170</v>
      </c>
      <c r="K162" s="29">
        <f>'1 lentelė'!$S161</f>
        <v>170.38000000000011</v>
      </c>
      <c r="L162" s="29">
        <v>2271.7600000000002</v>
      </c>
      <c r="M162" s="29">
        <v>1931.38</v>
      </c>
      <c r="N162" s="29">
        <v>170</v>
      </c>
      <c r="O162" s="29">
        <v>170.38</v>
      </c>
      <c r="P162" s="29">
        <v>54</v>
      </c>
      <c r="Q162" s="29">
        <v>45.91</v>
      </c>
      <c r="R162" s="29">
        <v>4.04</v>
      </c>
      <c r="S162" s="29">
        <f t="shared" si="42"/>
        <v>4.0500000000000034</v>
      </c>
      <c r="T162" s="54"/>
      <c r="V162" s="44">
        <f t="shared" si="43"/>
        <v>0</v>
      </c>
      <c r="W162" s="44"/>
      <c r="X162" s="44"/>
      <c r="Y162" s="44"/>
    </row>
    <row r="163" spans="2:25" s="33" customFormat="1" ht="157.5" customHeight="1" x14ac:dyDescent="0.25">
      <c r="B163" s="15" t="str">
        <f>'1 lentelė'!$B162</f>
        <v>3.2.1.2.6</v>
      </c>
      <c r="C163" s="15" t="str">
        <f>'1 lentelė'!$C162</f>
        <v>R096615-470000-3206</v>
      </c>
      <c r="D163" s="15" t="str">
        <f>'1 lentelė'!$D162</f>
        <v>Priemonių, gerinančių ambulatorinių sveikatos priežiūros paslaugų prieinamumą tuberkulioze sergantiems asmenims, įgyvendinimas Zarasų rajono savivaldybėje</v>
      </c>
      <c r="E163" s="15" t="str">
        <f>'1 lentelė'!$E162</f>
        <v>Zarasų rajono savivaldybės viešoji įstaiga Pirminės sveikatos priežiūros centras</v>
      </c>
      <c r="F163" s="39" t="s">
        <v>66</v>
      </c>
      <c r="G163" s="39" t="s">
        <v>1090</v>
      </c>
      <c r="H163" s="32">
        <f>'1 lentelė'!$P162</f>
        <v>6589</v>
      </c>
      <c r="I163" s="32">
        <f>'1 lentelė'!$Q162</f>
        <v>5600.64</v>
      </c>
      <c r="J163" s="32">
        <f>'1 lentelė'!$R162</f>
        <v>494.18</v>
      </c>
      <c r="K163" s="32">
        <f>'1 lentelė'!$S162</f>
        <v>494.17999999999967</v>
      </c>
      <c r="L163" s="32">
        <v>6589</v>
      </c>
      <c r="M163" s="32">
        <v>5600.64</v>
      </c>
      <c r="N163" s="32">
        <v>494.18</v>
      </c>
      <c r="O163" s="32">
        <f>X163</f>
        <v>494.18</v>
      </c>
      <c r="P163" s="32">
        <v>378</v>
      </c>
      <c r="Q163" s="32">
        <v>321.3</v>
      </c>
      <c r="R163" s="32">
        <v>28.35</v>
      </c>
      <c r="S163" s="32">
        <f t="shared" si="42"/>
        <v>28.349999999999987</v>
      </c>
      <c r="T163" s="32"/>
      <c r="V163" s="46">
        <f t="shared" si="43"/>
        <v>0</v>
      </c>
      <c r="W163" s="46"/>
      <c r="X163" s="47">
        <v>494.18</v>
      </c>
      <c r="Y163" s="46" t="s">
        <v>892</v>
      </c>
    </row>
    <row r="164" spans="2:25" s="6" customFormat="1" ht="92.25" customHeight="1" x14ac:dyDescent="0.25">
      <c r="B164" s="48" t="str">
        <f>'1 lentelė'!$B163</f>
        <v>3.2.2</v>
      </c>
      <c r="C164" s="48"/>
      <c r="D164" s="48" t="str">
        <f>'1 lentelė'!$D163</f>
        <v>Uždavinys: Skatinti sveiką gyvenseną ir visuomenės sveikatos raštingumą</v>
      </c>
      <c r="E164" s="48"/>
      <c r="F164" s="48"/>
      <c r="G164" s="48"/>
      <c r="H164" s="48"/>
      <c r="I164" s="48"/>
      <c r="J164" s="48"/>
      <c r="K164" s="48"/>
      <c r="L164" s="48"/>
      <c r="M164" s="48"/>
      <c r="N164" s="48"/>
      <c r="O164" s="48"/>
      <c r="P164" s="48"/>
      <c r="Q164" s="48"/>
      <c r="R164" s="48"/>
      <c r="S164" s="48"/>
      <c r="T164" s="26"/>
    </row>
    <row r="165" spans="2:25" s="6" customFormat="1" ht="82.5" customHeight="1" x14ac:dyDescent="0.25">
      <c r="B165" s="50" t="str">
        <f>'1 lentelė'!$B164</f>
        <v>3.2.2.1</v>
      </c>
      <c r="C165" s="248" t="s">
        <v>567</v>
      </c>
      <c r="D165" s="90" t="str">
        <f>'1 lentelė'!$D164</f>
        <v xml:space="preserve">Priemonė: Sveikos gyvensenos skatinimas regioniniu lygiu </v>
      </c>
      <c r="E165" s="50"/>
      <c r="F165" s="50"/>
      <c r="G165" s="50"/>
      <c r="H165" s="279">
        <f>SUM(H166:H172)</f>
        <v>988798.29000000015</v>
      </c>
      <c r="I165" s="279">
        <f t="shared" ref="I165:S165" si="44">SUM(I166:I172)</f>
        <v>840477.93</v>
      </c>
      <c r="J165" s="279">
        <f t="shared" si="44"/>
        <v>74143.92</v>
      </c>
      <c r="K165" s="279">
        <f t="shared" si="44"/>
        <v>74176.440000000031</v>
      </c>
      <c r="L165" s="279">
        <f t="shared" si="44"/>
        <v>994986.6100000001</v>
      </c>
      <c r="M165" s="279">
        <f t="shared" si="44"/>
        <v>845738</v>
      </c>
      <c r="N165" s="279">
        <f t="shared" si="44"/>
        <v>74608.040000000008</v>
      </c>
      <c r="O165" s="279">
        <f t="shared" si="44"/>
        <v>74640.570000000007</v>
      </c>
      <c r="P165" s="279">
        <f t="shared" si="44"/>
        <v>542792.16</v>
      </c>
      <c r="Q165" s="279">
        <f t="shared" si="44"/>
        <v>464735.08999999991</v>
      </c>
      <c r="R165" s="279">
        <f t="shared" si="44"/>
        <v>40995.74</v>
      </c>
      <c r="S165" s="279">
        <f t="shared" si="44"/>
        <v>37061.330000000009</v>
      </c>
      <c r="T165" s="35"/>
    </row>
    <row r="166" spans="2:25" s="33" customFormat="1" ht="74.25" customHeight="1" x14ac:dyDescent="0.25">
      <c r="B166" s="15" t="str">
        <f>'1 lentelė'!$B165</f>
        <v>3.2.2.1.1.</v>
      </c>
      <c r="C166" s="15" t="str">
        <f>'1 lentelė'!$C165</f>
        <v>R096630-470000-3207</v>
      </c>
      <c r="D166" s="15" t="str">
        <f>'1 lentelė'!$D165</f>
        <v>Sveikos gyvensenos skatinimas Anykščių rajono savivaldybėje</v>
      </c>
      <c r="E166" s="15" t="str">
        <f>'1 lentelė'!$E165</f>
        <v>Anykščių rajono savivaldybės visuomenės sveikatos biuras</v>
      </c>
      <c r="F166" s="39" t="s">
        <v>66</v>
      </c>
      <c r="G166" s="39" t="s">
        <v>1090</v>
      </c>
      <c r="H166" s="32">
        <f>'1 lentelė'!$P165</f>
        <v>228408.24</v>
      </c>
      <c r="I166" s="32">
        <f>'1 lentelė'!$Q165</f>
        <v>194147</v>
      </c>
      <c r="J166" s="32">
        <f>'1 lentelė'!$R165</f>
        <v>17120.240000000002</v>
      </c>
      <c r="K166" s="32">
        <f>'1 lentelė'!$S165</f>
        <v>17140.999999999989</v>
      </c>
      <c r="L166" s="32">
        <v>228408.24</v>
      </c>
      <c r="M166" s="32">
        <v>194147</v>
      </c>
      <c r="N166" s="32">
        <v>17120.240000000002</v>
      </c>
      <c r="O166" s="32">
        <v>17141</v>
      </c>
      <c r="P166" s="286">
        <v>166919.25</v>
      </c>
      <c r="Q166" s="31">
        <v>142570.99</v>
      </c>
      <c r="R166" s="32">
        <v>12572.18</v>
      </c>
      <c r="S166" s="286">
        <f t="shared" ref="S166:S171" si="45">P166-Q166-R166</f>
        <v>11776.080000000009</v>
      </c>
      <c r="T166" s="32"/>
      <c r="V166" s="46">
        <f>L166-M166-N166-O166</f>
        <v>0</v>
      </c>
    </row>
    <row r="167" spans="2:25" s="33" customFormat="1" ht="111" customHeight="1" x14ac:dyDescent="0.25">
      <c r="B167" s="15" t="str">
        <f>'1 lentelė'!$B166</f>
        <v>3.2.2.1.2.</v>
      </c>
      <c r="C167" s="15" t="str">
        <f>'1 lentelė'!$C166</f>
        <v>R096630-470000-3208</v>
      </c>
      <c r="D167" s="15" t="str">
        <f>'1 lentelė'!$D166</f>
        <v>Sveikos gyvensenos skatinimas Molėtų rajono savivaldybėje</v>
      </c>
      <c r="E167" s="15" t="str">
        <f>'1 lentelė'!$E166</f>
        <v>Molėtų rajono savivaldybės adminsitracija, partneris-Utenos rajono savivaldybės visuomenės sveikatos biuras</v>
      </c>
      <c r="F167" s="39" t="s">
        <v>66</v>
      </c>
      <c r="G167" s="39" t="s">
        <v>1090</v>
      </c>
      <c r="H167" s="32">
        <f>'1 lentelė'!$P166</f>
        <v>207636</v>
      </c>
      <c r="I167" s="32">
        <f>'1 lentelė'!$Q166</f>
        <v>176490</v>
      </c>
      <c r="J167" s="32">
        <f>'1 lentelė'!$R166</f>
        <v>15573</v>
      </c>
      <c r="K167" s="32">
        <f>'1 lentelė'!$S166</f>
        <v>15573</v>
      </c>
      <c r="L167" s="32">
        <v>207636</v>
      </c>
      <c r="M167" s="32">
        <v>176490</v>
      </c>
      <c r="N167" s="32">
        <v>15573</v>
      </c>
      <c r="O167" s="32">
        <v>15573</v>
      </c>
      <c r="P167" s="32">
        <v>59582.9</v>
      </c>
      <c r="Q167" s="32">
        <v>51419.17</v>
      </c>
      <c r="R167" s="32">
        <v>4537.04</v>
      </c>
      <c r="S167" s="32">
        <f t="shared" si="45"/>
        <v>3626.6900000000032</v>
      </c>
      <c r="T167" s="75"/>
      <c r="V167" s="46">
        <f t="shared" ref="V167:V172" si="46">L167-M167-N167-O167</f>
        <v>0</v>
      </c>
    </row>
    <row r="168" spans="2:25" s="33" customFormat="1" ht="63" customHeight="1" x14ac:dyDescent="0.25">
      <c r="B168" s="15" t="str">
        <f>'1 lentelė'!$B167</f>
        <v>3.2.2.1.3.</v>
      </c>
      <c r="C168" s="15" t="str">
        <f>'1 lentelė'!$C167</f>
        <v>R096630-470000-3209</v>
      </c>
      <c r="D168" s="15" t="str">
        <f>'1 lentelė'!$D167</f>
        <v>Sveikos gyvensenos skatinimas Utenos rajone</v>
      </c>
      <c r="E168" s="15" t="str">
        <f>'1 lentelė'!$E167</f>
        <v>Utenos rajono savivaldybės visuomenės sveikatos biuras</v>
      </c>
      <c r="F168" s="39" t="s">
        <v>66</v>
      </c>
      <c r="G168" s="39" t="s">
        <v>1090</v>
      </c>
      <c r="H168" s="32">
        <f>'1 lentelė'!$P167</f>
        <v>291706.14</v>
      </c>
      <c r="I168" s="32">
        <f>'1 lentelė'!$Q167</f>
        <v>247950.21</v>
      </c>
      <c r="J168" s="32">
        <f>'1 lentelė'!$R167</f>
        <v>21872.09</v>
      </c>
      <c r="K168" s="32">
        <f>'1 lentelė'!$S167</f>
        <v>21883.840000000022</v>
      </c>
      <c r="L168" s="32">
        <v>291706.14</v>
      </c>
      <c r="M168" s="32">
        <v>247950.21</v>
      </c>
      <c r="N168" s="32">
        <v>21872.09</v>
      </c>
      <c r="O168" s="32">
        <v>21883.84</v>
      </c>
      <c r="P168" s="32">
        <v>135905.21</v>
      </c>
      <c r="Q168" s="32">
        <v>115519.42</v>
      </c>
      <c r="R168" s="32">
        <v>10190.16</v>
      </c>
      <c r="S168" s="32">
        <f t="shared" si="45"/>
        <v>10195.629999999994</v>
      </c>
      <c r="T168" s="32"/>
      <c r="V168" s="46">
        <f t="shared" si="46"/>
        <v>0</v>
      </c>
    </row>
    <row r="169" spans="2:25" s="33" customFormat="1" ht="126" customHeight="1" x14ac:dyDescent="0.25">
      <c r="B169" s="15" t="str">
        <f>'1 lentelė'!$B168</f>
        <v>3.2.2.1.4.</v>
      </c>
      <c r="C169" s="15" t="str">
        <f>'1 lentelė'!$C168</f>
        <v>R096630-470000-3210</v>
      </c>
      <c r="D169" s="15" t="str">
        <f>'1 lentelė'!$D168</f>
        <v>Sveikos gyvensenos skatinimas Zarasų rajono savivaldybėje</v>
      </c>
      <c r="E169" s="15" t="str">
        <f>'1 lentelė'!$E168</f>
        <v>Ignalinos rajono savivaldybės visuomenės sveikatos biuras, partneris-Zarasų rajono savivaldybės administracija</v>
      </c>
      <c r="F169" s="39" t="s">
        <v>66</v>
      </c>
      <c r="G169" s="39" t="s">
        <v>1090</v>
      </c>
      <c r="H169" s="32">
        <f>'1 lentelė'!$P168</f>
        <v>140294.17000000001</v>
      </c>
      <c r="I169" s="32">
        <f>'1 lentelė'!$Q168</f>
        <v>119250.04</v>
      </c>
      <c r="J169" s="32">
        <f>'1 lentelė'!$R168</f>
        <v>10522.06</v>
      </c>
      <c r="K169" s="32">
        <f>'1 lentelė'!$S168</f>
        <v>10522.07000000002</v>
      </c>
      <c r="L169" s="32">
        <v>140294.16999999998</v>
      </c>
      <c r="M169" s="32">
        <v>119250.04</v>
      </c>
      <c r="N169" s="32">
        <v>10522.06</v>
      </c>
      <c r="O169" s="32">
        <v>10522.07</v>
      </c>
      <c r="P169" s="32">
        <v>86800.05</v>
      </c>
      <c r="Q169" s="32">
        <v>75186.25</v>
      </c>
      <c r="R169" s="32">
        <v>6634.08</v>
      </c>
      <c r="S169" s="32">
        <f t="shared" si="45"/>
        <v>4979.720000000003</v>
      </c>
      <c r="T169" s="75"/>
      <c r="V169" s="46">
        <f t="shared" si="46"/>
        <v>0</v>
      </c>
    </row>
    <row r="170" spans="2:25" s="33" customFormat="1" ht="75" customHeight="1" x14ac:dyDescent="0.25">
      <c r="B170" s="15" t="str">
        <f>'1 lentelė'!$B169</f>
        <v>3.2.2.1.5.</v>
      </c>
      <c r="C170" s="15" t="str">
        <f>'1 lentelė'!$C169</f>
        <v>R096630-470000-32011</v>
      </c>
      <c r="D170" s="15" t="str">
        <f>'1 lentelė'!$D169</f>
        <v>Sveikos gyvensenos skatinimas Ignalinos rajone</v>
      </c>
      <c r="E170" s="15" t="str">
        <f>'1 lentelė'!$E169</f>
        <v>Ignalinos rajono savivaldybės visuomenės sveikatos biuras</v>
      </c>
      <c r="F170" s="39" t="s">
        <v>66</v>
      </c>
      <c r="G170" s="39" t="s">
        <v>1090</v>
      </c>
      <c r="H170" s="32">
        <f>'1 lentelė'!$P169</f>
        <v>46794.12</v>
      </c>
      <c r="I170" s="32">
        <f>'1 lentelė'!$Q169</f>
        <v>39775</v>
      </c>
      <c r="J170" s="32">
        <f>'1 lentelė'!$R169</f>
        <v>3509.56</v>
      </c>
      <c r="K170" s="32">
        <f>'1 lentelė'!$S169</f>
        <v>3509.5600000000027</v>
      </c>
      <c r="L170" s="32">
        <v>46794.12</v>
      </c>
      <c r="M170" s="32">
        <v>39775</v>
      </c>
      <c r="N170" s="32">
        <v>3509.56</v>
      </c>
      <c r="O170" s="32">
        <v>3509.56</v>
      </c>
      <c r="P170" s="32">
        <v>38219.519999999997</v>
      </c>
      <c r="Q170" s="32">
        <v>32486.6</v>
      </c>
      <c r="R170" s="32">
        <v>2866.46</v>
      </c>
      <c r="S170" s="32">
        <f t="shared" si="45"/>
        <v>2866.4599999999982</v>
      </c>
      <c r="T170" s="32"/>
      <c r="V170" s="46">
        <f t="shared" si="46"/>
        <v>0</v>
      </c>
    </row>
    <row r="171" spans="2:25" s="238" customFormat="1" ht="99.75" customHeight="1" x14ac:dyDescent="0.25">
      <c r="B171" s="15" t="str">
        <f>'1 lentelė'!$B170</f>
        <v>3.2.2.1.6.</v>
      </c>
      <c r="C171" s="15" t="str">
        <f>'1 lentelė'!$C170</f>
        <v>R096630-470000-3212</v>
      </c>
      <c r="D171" s="15" t="str">
        <f>'1 lentelė'!$D170</f>
        <v>Vaikų  sveikos  gyvensenos  skatinimas Visagino savivaldybėje</v>
      </c>
      <c r="E171" s="15" t="str">
        <f>'1 lentelė'!$E170</f>
        <v>Visagino savivaldybės administracija, partneris- Rokiškio visuomenės sveikatos biuras</v>
      </c>
      <c r="F171" s="39" t="s">
        <v>66</v>
      </c>
      <c r="G171" s="39" t="s">
        <v>880</v>
      </c>
      <c r="H171" s="32">
        <f>'1 lentelė'!$P170</f>
        <v>48223.44</v>
      </c>
      <c r="I171" s="32">
        <f>'1 lentelė'!$Q170</f>
        <v>40989.93</v>
      </c>
      <c r="J171" s="32">
        <f>'1 lentelė'!$R170</f>
        <v>3616.76</v>
      </c>
      <c r="K171" s="32">
        <f>'1 lentelė'!$S170</f>
        <v>3616.7500000000018</v>
      </c>
      <c r="L171" s="32">
        <v>54411.76</v>
      </c>
      <c r="M171" s="32">
        <v>46250</v>
      </c>
      <c r="N171" s="32">
        <v>4080.88</v>
      </c>
      <c r="O171" s="32">
        <v>4080.88</v>
      </c>
      <c r="P171" s="32">
        <v>48223.44</v>
      </c>
      <c r="Q171" s="32">
        <v>40989.93</v>
      </c>
      <c r="R171" s="32">
        <v>3616.76</v>
      </c>
      <c r="S171" s="32">
        <f t="shared" si="45"/>
        <v>3616.7500000000018</v>
      </c>
      <c r="T171" s="304" t="s">
        <v>1232</v>
      </c>
      <c r="V171" s="238">
        <f t="shared" si="46"/>
        <v>0</v>
      </c>
    </row>
    <row r="172" spans="2:25" s="6" customFormat="1" ht="77.25" customHeight="1" x14ac:dyDescent="0.25">
      <c r="B172" s="15" t="str">
        <f>'1 lentelė'!$B171</f>
        <v>3.2.2.1.7.</v>
      </c>
      <c r="C172" s="15" t="str">
        <f>'1 lentelė'!$C171</f>
        <v>R096630-470000-3236</v>
      </c>
      <c r="D172" s="15" t="str">
        <f>'1 lentelė'!$D171</f>
        <v>Sveikos gyvensenos skatinimas Ignalinos rajone. II etapas</v>
      </c>
      <c r="E172" s="15" t="str">
        <f>'1 lentelė'!$E171</f>
        <v>Ignalinos rajono savivaldybės visuomenės sveikatos biuras</v>
      </c>
      <c r="F172" s="39" t="s">
        <v>66</v>
      </c>
      <c r="G172" s="39" t="s">
        <v>1090</v>
      </c>
      <c r="H172" s="29">
        <f>'1 lentelė'!$P171</f>
        <v>25736.18</v>
      </c>
      <c r="I172" s="29">
        <f>'1 lentelė'!$Q171</f>
        <v>21875.75</v>
      </c>
      <c r="J172" s="29">
        <f>'1 lentelė'!$R171</f>
        <v>1930.21</v>
      </c>
      <c r="K172" s="29">
        <f>'1 lentelė'!$S171</f>
        <v>1930.2200000000003</v>
      </c>
      <c r="L172" s="29">
        <v>25736.18</v>
      </c>
      <c r="M172" s="29">
        <v>21875.75</v>
      </c>
      <c r="N172" s="29">
        <v>1930.21</v>
      </c>
      <c r="O172" s="29">
        <v>1930.2200000000003</v>
      </c>
      <c r="P172" s="29">
        <v>7141.79</v>
      </c>
      <c r="Q172" s="29">
        <v>6562.73</v>
      </c>
      <c r="R172" s="29">
        <v>579.05999999999995</v>
      </c>
      <c r="S172" s="29">
        <f>P172-Q172-R172</f>
        <v>0</v>
      </c>
      <c r="T172" s="54"/>
      <c r="V172" s="44">
        <f t="shared" si="46"/>
        <v>0</v>
      </c>
    </row>
    <row r="173" spans="2:25" s="6" customFormat="1" ht="118.5" customHeight="1" x14ac:dyDescent="0.25">
      <c r="B173" s="48" t="str">
        <f>'1 lentelė'!$B172</f>
        <v>3.2.3</v>
      </c>
      <c r="C173" s="48"/>
      <c r="D173" s="48" t="str">
        <f>'1 lentelė'!$D172</f>
        <v>Uždavinys: Plėtoti socialinių paslaugų infrastruktūrą ir socialinio būsto fondą bei didinti jų prieinamumą</v>
      </c>
      <c r="E173" s="48"/>
      <c r="F173" s="48"/>
      <c r="G173" s="48"/>
      <c r="H173" s="48"/>
      <c r="I173" s="48"/>
      <c r="J173" s="48"/>
      <c r="K173" s="48"/>
      <c r="L173" s="48"/>
      <c r="M173" s="48"/>
      <c r="N173" s="48"/>
      <c r="O173" s="48"/>
      <c r="P173" s="48"/>
      <c r="Q173" s="48"/>
      <c r="R173" s="48"/>
      <c r="S173" s="48"/>
      <c r="T173" s="26"/>
    </row>
    <row r="174" spans="2:25" s="6" customFormat="1" ht="69.75" customHeight="1" x14ac:dyDescent="0.25">
      <c r="B174" s="50" t="str">
        <f>'1 lentelė'!$B173</f>
        <v>3.2.3.1</v>
      </c>
      <c r="C174" s="248" t="s">
        <v>1183</v>
      </c>
      <c r="D174" s="90" t="str">
        <f>'1 lentelė'!$D173</f>
        <v>Priemonė: Socialinių paslaugų infrastruktūros plėtra</v>
      </c>
      <c r="E174" s="50"/>
      <c r="F174" s="50"/>
      <c r="G174" s="50"/>
      <c r="H174" s="279">
        <f>SUM(H175:H178)</f>
        <v>1222220.76</v>
      </c>
      <c r="I174" s="279">
        <f t="shared" ref="I174:S174" si="47">SUM(I175:I178)</f>
        <v>810748</v>
      </c>
      <c r="J174" s="279">
        <f t="shared" si="47"/>
        <v>0</v>
      </c>
      <c r="K174" s="279">
        <f t="shared" si="47"/>
        <v>411472.75999999995</v>
      </c>
      <c r="L174" s="279">
        <f t="shared" si="47"/>
        <v>1235369.54</v>
      </c>
      <c r="M174" s="279">
        <f t="shared" si="47"/>
        <v>821924.45</v>
      </c>
      <c r="N174" s="279">
        <f t="shared" si="47"/>
        <v>0</v>
      </c>
      <c r="O174" s="279">
        <f t="shared" si="47"/>
        <v>413445.09</v>
      </c>
      <c r="P174" s="279">
        <f t="shared" si="47"/>
        <v>892589.46000000008</v>
      </c>
      <c r="Q174" s="279">
        <f t="shared" si="47"/>
        <v>637966.09000000008</v>
      </c>
      <c r="R174" s="279">
        <f t="shared" si="47"/>
        <v>0</v>
      </c>
      <c r="S174" s="279">
        <f t="shared" si="47"/>
        <v>254623.37</v>
      </c>
      <c r="T174" s="35"/>
    </row>
    <row r="175" spans="2:25" s="6" customFormat="1" ht="56.25" customHeight="1" x14ac:dyDescent="0.25">
      <c r="B175" s="15" t="str">
        <f>'1 lentelė'!$B174</f>
        <v>3.2.3.1.1</v>
      </c>
      <c r="C175" s="15" t="str">
        <f>'1 lentelė'!$C174</f>
        <v>R094407-270000-3213</v>
      </c>
      <c r="D175" s="15" t="str">
        <f>'1 lentelė'!$D174</f>
        <v>Anykščių rajono Svėdasų senelių globos namų modernizavimas</v>
      </c>
      <c r="E175" s="15" t="str">
        <f>'1 lentelė'!$E174</f>
        <v>Anykščių rajono savivaldybės administracija</v>
      </c>
      <c r="F175" s="39" t="s">
        <v>66</v>
      </c>
      <c r="G175" s="39" t="s">
        <v>1090</v>
      </c>
      <c r="H175" s="32">
        <f>'1 lentelė'!$P174</f>
        <v>99969.63</v>
      </c>
      <c r="I175" s="29">
        <f>'1 lentelė'!$Q174</f>
        <v>84974.19</v>
      </c>
      <c r="J175" s="29">
        <f>'1 lentelė'!$R174</f>
        <v>0</v>
      </c>
      <c r="K175" s="29">
        <f>'1 lentelė'!$S174</f>
        <v>14995.44</v>
      </c>
      <c r="L175" s="29">
        <v>84698.81</v>
      </c>
      <c r="M175" s="29">
        <v>71993.98</v>
      </c>
      <c r="N175" s="29">
        <v>0</v>
      </c>
      <c r="O175" s="29">
        <v>12704.83</v>
      </c>
      <c r="P175" s="29">
        <v>0</v>
      </c>
      <c r="Q175" s="29">
        <v>0</v>
      </c>
      <c r="R175" s="29">
        <v>0</v>
      </c>
      <c r="S175" s="29">
        <v>0</v>
      </c>
      <c r="T175" s="29"/>
      <c r="V175" s="44">
        <f>L175-M175-N175-O175</f>
        <v>0</v>
      </c>
    </row>
    <row r="176" spans="2:25" s="33" customFormat="1" ht="75" customHeight="1" x14ac:dyDescent="0.25">
      <c r="B176" s="15" t="str">
        <f>'1 lentelė'!$B175</f>
        <v>3.2.3.1.2</v>
      </c>
      <c r="C176" s="15" t="str">
        <f>'1 lentelė'!$C175</f>
        <v>R094407-270000-3214</v>
      </c>
      <c r="D176" s="15" t="str">
        <f>'1 lentelė'!$D175</f>
        <v>Utenos rajono savivaldybės Leliūnų socialinės globos namų modernizavimas</v>
      </c>
      <c r="E176" s="15" t="str">
        <f>'1 lentelė'!$E175</f>
        <v>Utenos rajono savivaldybės Leliūnų socialinės globos namai</v>
      </c>
      <c r="F176" s="39" t="s">
        <v>66</v>
      </c>
      <c r="G176" s="39" t="s">
        <v>880</v>
      </c>
      <c r="H176" s="32">
        <f>'1 lentelė'!$P175</f>
        <v>55347.3</v>
      </c>
      <c r="I176" s="32">
        <f>'1 lentelė'!$Q175</f>
        <v>47045.2</v>
      </c>
      <c r="J176" s="32">
        <f>'1 lentelė'!$R175</f>
        <v>0</v>
      </c>
      <c r="K176" s="32">
        <f>'1 lentelė'!$S175</f>
        <v>8302.1000000000058</v>
      </c>
      <c r="L176" s="32">
        <v>70618.14</v>
      </c>
      <c r="M176" s="32">
        <v>60025.41</v>
      </c>
      <c r="N176" s="32">
        <v>0</v>
      </c>
      <c r="O176" s="32">
        <v>10592.73</v>
      </c>
      <c r="P176" s="32">
        <v>55347.3</v>
      </c>
      <c r="Q176" s="32">
        <v>47045.2</v>
      </c>
      <c r="R176" s="32">
        <v>0</v>
      </c>
      <c r="S176" s="32">
        <f>P176-Q176</f>
        <v>8302.1000000000058</v>
      </c>
      <c r="T176" s="32" t="s">
        <v>1230</v>
      </c>
      <c r="V176" s="46">
        <f t="shared" ref="V176:V178" si="48">L176-M176-N176-O176</f>
        <v>0</v>
      </c>
    </row>
    <row r="177" spans="2:25" s="33" customFormat="1" ht="77.25" customHeight="1" x14ac:dyDescent="0.25">
      <c r="B177" s="15" t="str">
        <f>'1 lentelė'!$B176</f>
        <v>3.2.3.1.3</v>
      </c>
      <c r="C177" s="15" t="str">
        <f>'1 lentelė'!$C176</f>
        <v>R094407-270000-3215</v>
      </c>
      <c r="D177" s="15" t="str">
        <f>'1 lentelė'!$D176</f>
        <v>Zarasų rajono socialinių paslaugų centro nakvynės namų modernizavimas ir plėtra</v>
      </c>
      <c r="E177" s="15" t="str">
        <f>'1 lentelė'!$E176</f>
        <v>Zarasų rajono socialinių paslaugų centras</v>
      </c>
      <c r="F177" s="39" t="s">
        <v>66</v>
      </c>
      <c r="G177" s="39" t="s">
        <v>880</v>
      </c>
      <c r="H177" s="32">
        <f>'1 lentelė'!$P176</f>
        <v>37739.24</v>
      </c>
      <c r="I177" s="32">
        <f>'1 lentelė'!$Q176</f>
        <v>32078.35</v>
      </c>
      <c r="J177" s="32">
        <f>'1 lentelė'!$R176</f>
        <v>0</v>
      </c>
      <c r="K177" s="32">
        <f>'1 lentelė'!$S176</f>
        <v>5660.8899999999994</v>
      </c>
      <c r="L177" s="32">
        <v>50888</v>
      </c>
      <c r="M177" s="32">
        <v>43254.8</v>
      </c>
      <c r="N177" s="32">
        <v>0</v>
      </c>
      <c r="O177" s="32">
        <v>7633.2</v>
      </c>
      <c r="P177" s="32">
        <f>Q177+R177+S177</f>
        <v>37739.24</v>
      </c>
      <c r="Q177" s="32">
        <v>32078.35</v>
      </c>
      <c r="R177" s="32">
        <v>0</v>
      </c>
      <c r="S177" s="32">
        <v>5660.89</v>
      </c>
      <c r="T177" s="32" t="s">
        <v>1233</v>
      </c>
      <c r="V177" s="46">
        <f t="shared" si="48"/>
        <v>0</v>
      </c>
    </row>
    <row r="178" spans="2:25" s="33" customFormat="1" ht="140.25" customHeight="1" x14ac:dyDescent="0.25">
      <c r="B178" s="15" t="str">
        <f>'1 lentelė'!$B177</f>
        <v>3.2.3.1.4</v>
      </c>
      <c r="C178" s="15" t="str">
        <f>'1 lentelė'!$C177</f>
        <v>R094407-270000-3216</v>
      </c>
      <c r="D178" s="15" t="str">
        <f>'1 lentelė'!$D177</f>
        <v>Apleisto (nenaudojamo) buvusio visuomeninio pastato konversija ir pritaikymas savarankiško gyvenimo namų Visagine įkūrimas</v>
      </c>
      <c r="E178" s="15" t="str">
        <f>'1 lentelė'!$E177</f>
        <v>Visagino savivaldybės administracija</v>
      </c>
      <c r="F178" s="35" t="s">
        <v>65</v>
      </c>
      <c r="G178" s="39" t="s">
        <v>1090</v>
      </c>
      <c r="H178" s="32">
        <f>'1 lentelė'!$P177</f>
        <v>1029164.59</v>
      </c>
      <c r="I178" s="32">
        <f>'1 lentelė'!$Q177</f>
        <v>646650.26</v>
      </c>
      <c r="J178" s="32">
        <f>'1 lentelė'!$R177</f>
        <v>0</v>
      </c>
      <c r="K178" s="32">
        <f>'1 lentelė'!$S177</f>
        <v>382514.32999999996</v>
      </c>
      <c r="L178" s="32">
        <v>1029164.5900000001</v>
      </c>
      <c r="M178" s="32">
        <v>646650.26</v>
      </c>
      <c r="N178" s="32">
        <v>0</v>
      </c>
      <c r="O178" s="32">
        <v>382514.33</v>
      </c>
      <c r="P178" s="32">
        <v>799502.92</v>
      </c>
      <c r="Q178" s="32">
        <v>558842.54</v>
      </c>
      <c r="R178" s="32">
        <v>0</v>
      </c>
      <c r="S178" s="32">
        <f>P178-Q178</f>
        <v>240660.38</v>
      </c>
      <c r="T178" s="32"/>
      <c r="V178" s="46">
        <f t="shared" si="48"/>
        <v>0</v>
      </c>
    </row>
    <row r="179" spans="2:25" s="6" customFormat="1" ht="54.75" customHeight="1" x14ac:dyDescent="0.25">
      <c r="B179" s="50" t="str">
        <f>'1 lentelė'!$B178</f>
        <v>3.2.3.2</v>
      </c>
      <c r="C179" s="248" t="s">
        <v>616</v>
      </c>
      <c r="D179" s="90" t="str">
        <f>'1 lentelė'!$D178</f>
        <v>Priemonė: Socialinio būsto fondo plėtra</v>
      </c>
      <c r="E179" s="50"/>
      <c r="F179" s="50"/>
      <c r="G179" s="50"/>
      <c r="H179" s="279">
        <f>SUM(H180:H185)</f>
        <v>2580012.04</v>
      </c>
      <c r="I179" s="279">
        <f t="shared" ref="I179:S179" si="49">SUM(I180:I185)</f>
        <v>2192956.21</v>
      </c>
      <c r="J179" s="279">
        <f t="shared" si="49"/>
        <v>0</v>
      </c>
      <c r="K179" s="279">
        <f t="shared" si="49"/>
        <v>387055.82999999996</v>
      </c>
      <c r="L179" s="279">
        <f t="shared" si="49"/>
        <v>2581906.2000000002</v>
      </c>
      <c r="M179" s="279">
        <f t="shared" si="49"/>
        <v>2194566.25</v>
      </c>
      <c r="N179" s="279">
        <f t="shared" si="49"/>
        <v>0</v>
      </c>
      <c r="O179" s="279">
        <f t="shared" si="49"/>
        <v>387339.95</v>
      </c>
      <c r="P179" s="279">
        <f t="shared" si="49"/>
        <v>2233091.27</v>
      </c>
      <c r="Q179" s="279">
        <f t="shared" si="49"/>
        <v>1913296.63</v>
      </c>
      <c r="R179" s="279">
        <f t="shared" si="49"/>
        <v>0</v>
      </c>
      <c r="S179" s="279">
        <f t="shared" si="49"/>
        <v>319794.64</v>
      </c>
      <c r="T179" s="35"/>
    </row>
    <row r="180" spans="2:25" s="33" customFormat="1" ht="52.5" customHeight="1" x14ac:dyDescent="0.25">
      <c r="B180" s="15" t="str">
        <f>'1 lentelė'!$B179</f>
        <v>3.2.3.2.1</v>
      </c>
      <c r="C180" s="15" t="str">
        <f>'1 lentelė'!$C179</f>
        <v>R094408-252600-3217</v>
      </c>
      <c r="D180" s="15" t="str">
        <f>'1 lentelė'!$D179</f>
        <v>Socialinio būsto fondo plėtra Ignalinos rajono savivaldybėje</v>
      </c>
      <c r="E180" s="15" t="str">
        <f>'1 lentelė'!$E179</f>
        <v>Ignalinos rajono savivaldybės administracija</v>
      </c>
      <c r="F180" s="35" t="s">
        <v>65</v>
      </c>
      <c r="G180" s="39" t="s">
        <v>1090</v>
      </c>
      <c r="H180" s="32">
        <f>'1 lentelė'!$P179</f>
        <v>431079.82</v>
      </c>
      <c r="I180" s="32">
        <f>'1 lentelė'!$Q179</f>
        <v>366417.84</v>
      </c>
      <c r="J180" s="32">
        <f>'1 lentelė'!$R179</f>
        <v>0</v>
      </c>
      <c r="K180" s="32">
        <f>'1 lentelė'!$S179</f>
        <v>64661.979999999981</v>
      </c>
      <c r="L180" s="32">
        <v>431079.82</v>
      </c>
      <c r="M180" s="32">
        <v>366417.84</v>
      </c>
      <c r="N180" s="32">
        <v>0</v>
      </c>
      <c r="O180" s="32">
        <v>64661.98</v>
      </c>
      <c r="P180" s="32">
        <v>372539.95</v>
      </c>
      <c r="Q180" s="32">
        <v>327147.76</v>
      </c>
      <c r="R180" s="32">
        <v>0</v>
      </c>
      <c r="S180" s="32">
        <f>P180-Q180</f>
        <v>45392.19</v>
      </c>
      <c r="T180" s="32"/>
      <c r="V180" s="46">
        <f>L180-M180-N180-O180</f>
        <v>0</v>
      </c>
    </row>
    <row r="181" spans="2:25" s="33" customFormat="1" ht="99" customHeight="1" x14ac:dyDescent="0.25">
      <c r="B181" s="15" t="str">
        <f>'1 lentelė'!$B180</f>
        <v>3.2.3.2.2</v>
      </c>
      <c r="C181" s="15" t="str">
        <f>'1 lentelė'!$C180</f>
        <v>R094408-250000-3218</v>
      </c>
      <c r="D181" s="15" t="str">
        <f>'1 lentelė'!$D180</f>
        <v>Bendrabučio tipo pastato, esančio Visagine,  Kosmoso 28, patalpų pritaikymas socialinio būsto įrengimui</v>
      </c>
      <c r="E181" s="15" t="str">
        <f>'1 lentelė'!$E180</f>
        <v>Visagino savivaldybės administracija</v>
      </c>
      <c r="F181" s="35" t="s">
        <v>65</v>
      </c>
      <c r="G181" s="39" t="s">
        <v>1090</v>
      </c>
      <c r="H181" s="32">
        <f>'1 lentelė'!$P180</f>
        <v>429341.5</v>
      </c>
      <c r="I181" s="32">
        <f>'1 lentelė'!$Q180</f>
        <v>364940.27</v>
      </c>
      <c r="J181" s="32">
        <f>'1 lentelė'!$R180</f>
        <v>0</v>
      </c>
      <c r="K181" s="32">
        <f>'1 lentelė'!$S180</f>
        <v>64401.229999999981</v>
      </c>
      <c r="L181" s="32">
        <v>429341.5</v>
      </c>
      <c r="M181" s="32">
        <v>364940.27</v>
      </c>
      <c r="N181" s="32">
        <v>0</v>
      </c>
      <c r="O181" s="32">
        <v>64401.23</v>
      </c>
      <c r="P181" s="32">
        <f t="shared" ref="P181" si="50">Q181+R181+S181</f>
        <v>360497.07</v>
      </c>
      <c r="Q181" s="32">
        <v>306422.51</v>
      </c>
      <c r="R181" s="32">
        <v>0</v>
      </c>
      <c r="S181" s="32">
        <v>54074.559999999998</v>
      </c>
      <c r="T181" s="75"/>
      <c r="V181" s="46">
        <f t="shared" ref="V181:V185" si="51">L181-M181-N181-O181</f>
        <v>0</v>
      </c>
    </row>
    <row r="182" spans="2:25" s="33" customFormat="1" ht="53.25" customHeight="1" x14ac:dyDescent="0.25">
      <c r="B182" s="15" t="str">
        <f>'1 lentelė'!$B181</f>
        <v>3.2.3.2.3</v>
      </c>
      <c r="C182" s="15" t="str">
        <f>'1 lentelė'!$C181</f>
        <v>R094408-250000-3219</v>
      </c>
      <c r="D182" s="15" t="str">
        <f>'1 lentelė'!$D181</f>
        <v>Socialinio būsto fondo plėtra Anykščių rajono savivaldybėje</v>
      </c>
      <c r="E182" s="15" t="str">
        <f>'1 lentelė'!$E181</f>
        <v>Anykščių rajono savivaldybės administracija</v>
      </c>
      <c r="F182" s="39" t="s">
        <v>66</v>
      </c>
      <c r="G182" s="39" t="s">
        <v>1090</v>
      </c>
      <c r="H182" s="32">
        <f>'1 lentelė'!$P181</f>
        <v>301122.82</v>
      </c>
      <c r="I182" s="32">
        <f>'1 lentelė'!$Q181</f>
        <v>255954.39</v>
      </c>
      <c r="J182" s="32">
        <f>'1 lentelė'!$R181</f>
        <v>0</v>
      </c>
      <c r="K182" s="32">
        <f>'1 lentelė'!$S181</f>
        <v>45168.429999999993</v>
      </c>
      <c r="L182" s="32">
        <v>301122.82</v>
      </c>
      <c r="M182" s="32">
        <v>255954.39</v>
      </c>
      <c r="N182" s="32">
        <v>0</v>
      </c>
      <c r="O182" s="32">
        <v>45168.43</v>
      </c>
      <c r="P182" s="32">
        <v>196346.45</v>
      </c>
      <c r="Q182" s="32">
        <v>171618.35</v>
      </c>
      <c r="R182" s="32">
        <v>0</v>
      </c>
      <c r="S182" s="32">
        <f>P182-Q182</f>
        <v>24728.100000000006</v>
      </c>
      <c r="T182" s="32"/>
      <c r="V182" s="46">
        <f t="shared" si="51"/>
        <v>0</v>
      </c>
    </row>
    <row r="183" spans="2:25" s="33" customFormat="1" ht="52.5" customHeight="1" x14ac:dyDescent="0.25">
      <c r="B183" s="15" t="str">
        <f>'1 lentelė'!$B182</f>
        <v>3.2.3.2.4</v>
      </c>
      <c r="C183" s="15" t="str">
        <f>'1 lentelė'!$C182</f>
        <v>R094408-262500-3220</v>
      </c>
      <c r="D183" s="15" t="str">
        <f>'1 lentelė'!$D182</f>
        <v>Socialinio būsto fondo plėtra Molėtų rajono savivaldybėje</v>
      </c>
      <c r="E183" s="15" t="str">
        <f>'1 lentelė'!$E182</f>
        <v>Molėtų rajono savivaldybės administracija</v>
      </c>
      <c r="F183" s="39" t="s">
        <v>66</v>
      </c>
      <c r="G183" s="39" t="s">
        <v>1090</v>
      </c>
      <c r="H183" s="32">
        <f>'1 lentelė'!$P182</f>
        <v>577222.22</v>
      </c>
      <c r="I183" s="32">
        <f>'1 lentelė'!$Q182</f>
        <v>490585</v>
      </c>
      <c r="J183" s="32">
        <f>'1 lentelė'!$R182</f>
        <v>0</v>
      </c>
      <c r="K183" s="32">
        <f>'1 lentelė'!$S182</f>
        <v>86637.219999999972</v>
      </c>
      <c r="L183" s="32">
        <v>577222.22</v>
      </c>
      <c r="M183" s="32">
        <v>490585</v>
      </c>
      <c r="N183" s="32">
        <v>0</v>
      </c>
      <c r="O183" s="32">
        <v>86637.22</v>
      </c>
      <c r="P183" s="32">
        <v>466082.89</v>
      </c>
      <c r="Q183" s="32">
        <v>396126.95</v>
      </c>
      <c r="R183" s="32">
        <v>0</v>
      </c>
      <c r="S183" s="32">
        <f>P183-Q183</f>
        <v>69955.94</v>
      </c>
      <c r="T183" s="32"/>
      <c r="V183" s="46">
        <f t="shared" si="51"/>
        <v>0</v>
      </c>
    </row>
    <row r="184" spans="2:25" s="33" customFormat="1" ht="51" customHeight="1" x14ac:dyDescent="0.25">
      <c r="B184" s="15" t="str">
        <f>'1 lentelė'!$B183</f>
        <v>3.2.3.2.5</v>
      </c>
      <c r="C184" s="15" t="str">
        <f>'1 lentelė'!$C183</f>
        <v>R094408-260000-3221</v>
      </c>
      <c r="D184" s="15" t="str">
        <f>'1 lentelė'!$D183</f>
        <v>Socialinio būsto fondo plėtra Zarasų rajono savivaldybėje</v>
      </c>
      <c r="E184" s="15" t="str">
        <f>'1 lentelė'!$E183</f>
        <v>Zarasų rajono savivaldybės administracija</v>
      </c>
      <c r="F184" s="39" t="s">
        <v>66</v>
      </c>
      <c r="G184" s="39" t="s">
        <v>1090</v>
      </c>
      <c r="H184" s="32">
        <f>'1 lentelė'!$P183</f>
        <v>344844.84</v>
      </c>
      <c r="I184" s="32">
        <f>'1 lentelė'!$Q183</f>
        <v>293118</v>
      </c>
      <c r="J184" s="32">
        <f>'1 lentelė'!$R183</f>
        <v>0</v>
      </c>
      <c r="K184" s="32">
        <f>'1 lentelė'!$S183</f>
        <v>51726.840000000026</v>
      </c>
      <c r="L184" s="32">
        <v>344844.83999999997</v>
      </c>
      <c r="M184" s="32">
        <v>293118</v>
      </c>
      <c r="N184" s="32">
        <v>0</v>
      </c>
      <c r="O184" s="32">
        <v>51726.84</v>
      </c>
      <c r="P184" s="32">
        <v>341224.07</v>
      </c>
      <c r="Q184" s="32">
        <v>290040.34999999998</v>
      </c>
      <c r="R184" s="32">
        <v>0</v>
      </c>
      <c r="S184" s="32">
        <f>P184-Q184</f>
        <v>51183.72000000003</v>
      </c>
      <c r="T184" s="32"/>
      <c r="V184" s="46">
        <f t="shared" si="51"/>
        <v>0</v>
      </c>
    </row>
    <row r="185" spans="2:25" s="33" customFormat="1" ht="54.75" customHeight="1" x14ac:dyDescent="0.25">
      <c r="B185" s="15" t="str">
        <f>'1 lentelė'!$B184</f>
        <v>3.2.3.2.6</v>
      </c>
      <c r="C185" s="15" t="str">
        <f>'1 lentelė'!$C184</f>
        <v>R094408-260000-3222</v>
      </c>
      <c r="D185" s="15" t="str">
        <f>'1 lentelė'!$D184</f>
        <v>Socialinio būsto fondo plėtra Utenos rajono savivaldybėje</v>
      </c>
      <c r="E185" s="15" t="str">
        <f>'1 lentelė'!$E184</f>
        <v>Utenos rajono savivaldybės administracija</v>
      </c>
      <c r="F185" s="39" t="s">
        <v>66</v>
      </c>
      <c r="G185" s="39" t="s">
        <v>880</v>
      </c>
      <c r="H185" s="32">
        <f>'1 lentelė'!$P184</f>
        <v>496400.84</v>
      </c>
      <c r="I185" s="32">
        <f>'1 lentelė'!$Q184</f>
        <v>421940.71</v>
      </c>
      <c r="J185" s="32">
        <f>'1 lentelė'!$R184</f>
        <v>0</v>
      </c>
      <c r="K185" s="32">
        <f>'1 lentelė'!$S184</f>
        <v>74460.13</v>
      </c>
      <c r="L185" s="32">
        <v>498295</v>
      </c>
      <c r="M185" s="32">
        <v>423550.75</v>
      </c>
      <c r="N185" s="32">
        <v>0</v>
      </c>
      <c r="O185" s="32">
        <v>74744.25</v>
      </c>
      <c r="P185" s="32">
        <v>496400.84</v>
      </c>
      <c r="Q185" s="32">
        <v>421940.71</v>
      </c>
      <c r="R185" s="32">
        <v>0</v>
      </c>
      <c r="S185" s="32">
        <f>P185-Q185</f>
        <v>74460.13</v>
      </c>
      <c r="T185" s="32" t="s">
        <v>1194</v>
      </c>
      <c r="V185" s="46">
        <f t="shared" si="51"/>
        <v>0</v>
      </c>
    </row>
    <row r="186" spans="2:25" s="6" customFormat="1" ht="66.75" customHeight="1" x14ac:dyDescent="0.25">
      <c r="B186" s="48" t="str">
        <f>'1 lentelė'!$B185</f>
        <v>3.2.4</v>
      </c>
      <c r="C186" s="48"/>
      <c r="D186" s="48" t="str">
        <f>'1 lentelė'!$D185</f>
        <v>Uždavinys: Plėtoti kultūros paslaugas ir infrastruktūrą</v>
      </c>
      <c r="E186" s="48"/>
      <c r="F186" s="48"/>
      <c r="G186" s="48"/>
      <c r="H186" s="48"/>
      <c r="I186" s="48"/>
      <c r="J186" s="48"/>
      <c r="K186" s="48"/>
      <c r="L186" s="48"/>
      <c r="M186" s="48"/>
      <c r="N186" s="48"/>
      <c r="O186" s="48"/>
      <c r="P186" s="48"/>
      <c r="Q186" s="48"/>
      <c r="R186" s="48"/>
      <c r="S186" s="48"/>
      <c r="T186" s="26"/>
    </row>
    <row r="187" spans="2:25" s="6" customFormat="1" ht="69" customHeight="1" x14ac:dyDescent="0.25">
      <c r="B187" s="50" t="str">
        <f>'1 lentelė'!$B186</f>
        <v>3.2.4.1</v>
      </c>
      <c r="C187" s="248" t="s">
        <v>1184</v>
      </c>
      <c r="D187" s="90" t="str">
        <f>'1 lentelė'!$D186</f>
        <v>Priemonė: Modernizuoti savivaldybių kultūros infrastuktūrą</v>
      </c>
      <c r="E187" s="50"/>
      <c r="F187" s="50"/>
      <c r="G187" s="50"/>
      <c r="H187" s="279">
        <f>SUM(H188:H193)</f>
        <v>5751536.04</v>
      </c>
      <c r="I187" s="279">
        <f t="shared" ref="I187:S187" si="52">SUM(I188:I193)</f>
        <v>4766852.66</v>
      </c>
      <c r="J187" s="279">
        <f t="shared" si="52"/>
        <v>600000</v>
      </c>
      <c r="K187" s="279">
        <f t="shared" si="52"/>
        <v>384683.38000000018</v>
      </c>
      <c r="L187" s="279">
        <f t="shared" si="52"/>
        <v>5751536.3399999999</v>
      </c>
      <c r="M187" s="279">
        <f t="shared" si="52"/>
        <v>4766852.91</v>
      </c>
      <c r="N187" s="279">
        <f t="shared" si="52"/>
        <v>600000</v>
      </c>
      <c r="O187" s="279">
        <f t="shared" si="52"/>
        <v>384683.42999999993</v>
      </c>
      <c r="P187" s="279">
        <f t="shared" si="52"/>
        <v>4256300.74</v>
      </c>
      <c r="Q187" s="279">
        <f t="shared" si="52"/>
        <v>3602079.77</v>
      </c>
      <c r="R187" s="279">
        <f t="shared" si="52"/>
        <v>0</v>
      </c>
      <c r="S187" s="279">
        <f t="shared" si="52"/>
        <v>654220.9700000002</v>
      </c>
      <c r="T187" s="279"/>
    </row>
    <row r="188" spans="2:25" s="33" customFormat="1" ht="109.5" customHeight="1" x14ac:dyDescent="0.25">
      <c r="B188" s="15" t="str">
        <f>'1 lentelė'!$B187</f>
        <v>3.2.4.1.1</v>
      </c>
      <c r="C188" s="15" t="str">
        <f>'1 lentelė'!$C187</f>
        <v>R093305-330000-3223</v>
      </c>
      <c r="D188" s="15" t="str">
        <f>'1 lentelė'!$D187</f>
        <v xml:space="preserve">Ignalinos rajono savivaldybės viešosios bibliotekos infrastruktūros pritaikymas vietos bendruomenės poreikiams </v>
      </c>
      <c r="E188" s="15" t="str">
        <f>'1 lentelė'!$E187</f>
        <v>Ignalinos rajono savivaldybės administracija</v>
      </c>
      <c r="F188" s="35" t="s">
        <v>65</v>
      </c>
      <c r="G188" s="39" t="s">
        <v>880</v>
      </c>
      <c r="H188" s="32">
        <f>'1 lentelė'!$P187</f>
        <v>70588</v>
      </c>
      <c r="I188" s="32">
        <f>'1 lentelė'!$Q187</f>
        <v>59999.8</v>
      </c>
      <c r="J188" s="32">
        <f>'1 lentelė'!$R187</f>
        <v>0</v>
      </c>
      <c r="K188" s="32">
        <f>'1 lentelė'!$S187</f>
        <v>10588.199999999997</v>
      </c>
      <c r="L188" s="32">
        <v>70588</v>
      </c>
      <c r="M188" s="32">
        <v>59999.8</v>
      </c>
      <c r="N188" s="32">
        <v>0</v>
      </c>
      <c r="O188" s="32">
        <v>10588.2</v>
      </c>
      <c r="P188" s="32">
        <v>70588</v>
      </c>
      <c r="Q188" s="32">
        <v>59999.8</v>
      </c>
      <c r="R188" s="32">
        <v>0</v>
      </c>
      <c r="S188" s="32">
        <v>10588.2</v>
      </c>
      <c r="T188" s="32" t="s">
        <v>893</v>
      </c>
      <c r="V188" s="46">
        <f>L188-M188-N188-O188</f>
        <v>0</v>
      </c>
      <c r="W188" s="46"/>
      <c r="X188" s="46">
        <v>0</v>
      </c>
      <c r="Y188" s="46"/>
    </row>
    <row r="189" spans="2:25" s="33" customFormat="1" ht="99" customHeight="1" x14ac:dyDescent="0.25">
      <c r="B189" s="15" t="str">
        <f>'1 lentelė'!$B188</f>
        <v>3.2.4.1.2</v>
      </c>
      <c r="C189" s="15" t="str">
        <f>'1 lentelė'!$C188</f>
        <v>R093305-334300-3224</v>
      </c>
      <c r="D189" s="15" t="str">
        <f>'1 lentelė'!$D188</f>
        <v>Renginių infrastruktūros atnaujinimas Zarasų miesto Didžiojoje saloje</v>
      </c>
      <c r="E189" s="15" t="str">
        <f>'1 lentelė'!$E188</f>
        <v>Zarasų rajono savivaldybės administracija, partneris- Zarasų rajono savivaldybės kultūros centras</v>
      </c>
      <c r="F189" s="35" t="s">
        <v>65</v>
      </c>
      <c r="G189" s="39" t="s">
        <v>1090</v>
      </c>
      <c r="H189" s="32">
        <f>'1 lentelė'!$P188</f>
        <v>589242.18000000005</v>
      </c>
      <c r="I189" s="32">
        <f>'1 lentelė'!$Q188</f>
        <v>420000</v>
      </c>
      <c r="J189" s="32">
        <f>'1 lentelė'!$R188</f>
        <v>0</v>
      </c>
      <c r="K189" s="32">
        <f>'1 lentelė'!$S188</f>
        <v>169242.18000000005</v>
      </c>
      <c r="L189" s="32">
        <v>589242.17999999993</v>
      </c>
      <c r="M189" s="32">
        <v>420000</v>
      </c>
      <c r="N189" s="32">
        <v>0</v>
      </c>
      <c r="O189" s="32">
        <f>L189-M189</f>
        <v>169242.17999999993</v>
      </c>
      <c r="P189" s="32">
        <v>502440.19</v>
      </c>
      <c r="Q189" s="32">
        <v>382358.83</v>
      </c>
      <c r="R189" s="32">
        <v>0</v>
      </c>
      <c r="S189" s="32">
        <f>P189-Q189</f>
        <v>120081.35999999999</v>
      </c>
      <c r="T189" s="32"/>
      <c r="V189" s="46">
        <f t="shared" ref="V189:V193" si="53">L189-M189-N189-O189</f>
        <v>0</v>
      </c>
      <c r="W189" s="46"/>
      <c r="X189" s="46">
        <v>20993</v>
      </c>
      <c r="Y189" s="46" t="s">
        <v>892</v>
      </c>
    </row>
    <row r="190" spans="2:25" s="33" customFormat="1" ht="87.75" customHeight="1" x14ac:dyDescent="0.25">
      <c r="B190" s="15" t="str">
        <f>'1 lentelė'!$B189</f>
        <v>3.2.4.1.3</v>
      </c>
      <c r="C190" s="15" t="str">
        <f>'1 lentelė'!$C189</f>
        <v>R093305-330000-3225</v>
      </c>
      <c r="D190" s="15" t="str">
        <f>'1 lentelė'!$D189</f>
        <v>Molėtų miesto laisvalaikio ir pramogų infrastruktūros atnaujinimas ir plėtra Labanoro g. 1b, Molėtai</v>
      </c>
      <c r="E190" s="15" t="str">
        <f>'1 lentelė'!$E189</f>
        <v>Molėtų rajono savivaldybės administracija</v>
      </c>
      <c r="F190" s="35" t="s">
        <v>65</v>
      </c>
      <c r="G190" s="39" t="s">
        <v>880</v>
      </c>
      <c r="H190" s="32">
        <f>'1 lentelė'!$P189</f>
        <v>263922.88</v>
      </c>
      <c r="I190" s="32">
        <f>'1 lentelė'!$Q189</f>
        <v>224334.44</v>
      </c>
      <c r="J190" s="32">
        <f>'1 lentelė'!$R189</f>
        <v>0</v>
      </c>
      <c r="K190" s="32">
        <f>'1 lentelė'!$S189</f>
        <v>39588.44</v>
      </c>
      <c r="L190" s="32">
        <v>263922.88</v>
      </c>
      <c r="M190" s="32">
        <v>224334.44</v>
      </c>
      <c r="N190" s="32">
        <v>0</v>
      </c>
      <c r="O190" s="32">
        <v>39588.44</v>
      </c>
      <c r="P190" s="32">
        <v>263922.88</v>
      </c>
      <c r="Q190" s="32">
        <v>224334.44</v>
      </c>
      <c r="R190" s="32">
        <v>0</v>
      </c>
      <c r="S190" s="32">
        <f>P190-Q190</f>
        <v>39588.44</v>
      </c>
      <c r="T190" s="32" t="s">
        <v>1234</v>
      </c>
      <c r="V190" s="46">
        <f t="shared" si="53"/>
        <v>0</v>
      </c>
      <c r="W190" s="46"/>
      <c r="X190" s="46">
        <v>0</v>
      </c>
      <c r="Y190" s="46"/>
    </row>
    <row r="191" spans="2:25" s="33" customFormat="1" ht="179.25" customHeight="1" x14ac:dyDescent="0.25">
      <c r="B191" s="15" t="str">
        <f>'1 lentelė'!$B190</f>
        <v>3.2.4.1.4</v>
      </c>
      <c r="C191" s="15" t="str">
        <f>'1 lentelė'!$C190</f>
        <v>R093305-330000-3226</v>
      </c>
      <c r="D191" s="15" t="str">
        <f>'1 lentelė'!$D190</f>
        <v>Buvusios Sedulinos mokyklos pastato pritaikymas Visagino kultūros centro ir bendruomenės reikmėms, įrengiant Kultūros, turizmo ir kūrybinio verslo miestą po vienu stogu.</v>
      </c>
      <c r="E191" s="15" t="str">
        <f>'1 lentelė'!$E190</f>
        <v>Visagino kultūros centras</v>
      </c>
      <c r="F191" s="35" t="s">
        <v>65</v>
      </c>
      <c r="G191" s="39" t="s">
        <v>1090</v>
      </c>
      <c r="H191" s="32">
        <f>'1 lentelė'!$P190</f>
        <v>797588.28</v>
      </c>
      <c r="I191" s="32">
        <f>'1 lentelė'!$Q190</f>
        <v>636853.66999999993</v>
      </c>
      <c r="J191" s="32">
        <f>'1 lentelė'!$R190</f>
        <v>0</v>
      </c>
      <c r="K191" s="32">
        <f>'1 lentelė'!$S190</f>
        <v>160734.6100000001</v>
      </c>
      <c r="L191" s="32">
        <v>797588.28</v>
      </c>
      <c r="M191" s="32">
        <v>636853.67000000004</v>
      </c>
      <c r="N191" s="32">
        <v>0</v>
      </c>
      <c r="O191" s="32">
        <v>160734.60999999999</v>
      </c>
      <c r="P191" s="32">
        <v>575550.37</v>
      </c>
      <c r="Q191" s="32">
        <v>459562.13</v>
      </c>
      <c r="R191" s="32">
        <v>0</v>
      </c>
      <c r="S191" s="32">
        <f>P191-Q191</f>
        <v>115988.23999999999</v>
      </c>
      <c r="T191" s="32"/>
      <c r="V191" s="46">
        <f t="shared" si="53"/>
        <v>0</v>
      </c>
      <c r="W191" s="46"/>
      <c r="X191" s="246">
        <v>0</v>
      </c>
      <c r="Y191" s="46"/>
    </row>
    <row r="192" spans="2:25" s="33" customFormat="1" ht="72.75" customHeight="1" x14ac:dyDescent="0.25">
      <c r="B192" s="15" t="str">
        <f>'1 lentelė'!$B191</f>
        <v>3.2.4.1.5</v>
      </c>
      <c r="C192" s="15" t="str">
        <f>'1 lentelė'!$C191</f>
        <v>R093305-330000-3227</v>
      </c>
      <c r="D192" s="15" t="str">
        <f>'1 lentelė'!$D191</f>
        <v>Lietuvos etnokosmologijos muziejaus paslaugų plėtros baigiamasis etapas</v>
      </c>
      <c r="E192" s="15" t="str">
        <f>'1 lentelė'!$E191</f>
        <v>BĮ Lietuvos Etnokosmologijos muziejus</v>
      </c>
      <c r="F192" s="35" t="s">
        <v>65</v>
      </c>
      <c r="G192" s="39" t="s">
        <v>1090</v>
      </c>
      <c r="H192" s="32">
        <f>'1 lentelė'!$P191</f>
        <v>4000000</v>
      </c>
      <c r="I192" s="32">
        <f>'1 lentelė'!$Q191</f>
        <v>3400000</v>
      </c>
      <c r="J192" s="32">
        <f>'1 lentelė'!$R191</f>
        <v>600000</v>
      </c>
      <c r="K192" s="32">
        <f>'1 lentelė'!$S191</f>
        <v>0</v>
      </c>
      <c r="L192" s="32">
        <v>4000000</v>
      </c>
      <c r="M192" s="32">
        <v>3400000</v>
      </c>
      <c r="N192" s="32">
        <v>600000</v>
      </c>
      <c r="O192" s="32">
        <v>0</v>
      </c>
      <c r="P192" s="286">
        <v>2813604.6</v>
      </c>
      <c r="Q192" s="32">
        <v>2450159.8199999998</v>
      </c>
      <c r="R192" s="32">
        <v>0</v>
      </c>
      <c r="S192" s="286">
        <f>P192-Q192</f>
        <v>363444.78000000026</v>
      </c>
      <c r="T192" s="75"/>
      <c r="V192" s="46">
        <f t="shared" si="53"/>
        <v>0</v>
      </c>
      <c r="W192" s="46"/>
      <c r="X192" s="46">
        <v>0</v>
      </c>
      <c r="Y192" s="46"/>
    </row>
    <row r="193" spans="2:25" s="33" customFormat="1" ht="69" customHeight="1" x14ac:dyDescent="0.25">
      <c r="B193" s="15" t="str">
        <f>'1 lentelė'!$B192</f>
        <v>3.2.4.1.6</v>
      </c>
      <c r="C193" s="15" t="str">
        <f>'1 lentelė'!$C192</f>
        <v>R093305-330000-3228</v>
      </c>
      <c r="D193" s="15" t="str">
        <f>'1 lentelė'!$D192</f>
        <v>Utenos A. ir M. Miškinių viešosios bibliotekos modernizavimas</v>
      </c>
      <c r="E193" s="15" t="str">
        <f>'1 lentelė'!$E192</f>
        <v>Utenos A. ir M. Miškinių viešoji biblioteka</v>
      </c>
      <c r="F193" s="35" t="s">
        <v>65</v>
      </c>
      <c r="G193" s="39" t="s">
        <v>880</v>
      </c>
      <c r="H193" s="32">
        <f>'1 lentelė'!$P192</f>
        <v>30194.7</v>
      </c>
      <c r="I193" s="32">
        <f>'1 lentelė'!$Q192</f>
        <v>25664.75</v>
      </c>
      <c r="J193" s="32">
        <f>'1 lentelė'!$R192</f>
        <v>0</v>
      </c>
      <c r="K193" s="32">
        <f>'1 lentelė'!$S192</f>
        <v>4529.95</v>
      </c>
      <c r="L193" s="32">
        <v>30195</v>
      </c>
      <c r="M193" s="32">
        <v>25665</v>
      </c>
      <c r="N193" s="32">
        <v>0</v>
      </c>
      <c r="O193" s="32">
        <v>4530</v>
      </c>
      <c r="P193" s="32">
        <v>30194.7</v>
      </c>
      <c r="Q193" s="32">
        <v>25664.75</v>
      </c>
      <c r="R193" s="32">
        <v>0</v>
      </c>
      <c r="S193" s="32">
        <f>P193-Q193</f>
        <v>4529.9500000000007</v>
      </c>
      <c r="T193" s="32" t="s">
        <v>1469</v>
      </c>
      <c r="V193" s="46">
        <f t="shared" si="53"/>
        <v>0</v>
      </c>
      <c r="W193" s="46"/>
      <c r="X193" s="46">
        <v>0</v>
      </c>
      <c r="Y193" s="46"/>
    </row>
    <row r="194" spans="2:25" s="6" customFormat="1" ht="44.25" customHeight="1" x14ac:dyDescent="0.25">
      <c r="B194" s="48" t="str">
        <f>'1 lentelė'!$B193</f>
        <v>3.2.5</v>
      </c>
      <c r="C194" s="48"/>
      <c r="D194" s="48" t="str">
        <f>'1 lentelė'!$D193</f>
        <v>Uždavinys: Gerinti viešąjį valdymą</v>
      </c>
      <c r="E194" s="48"/>
      <c r="F194" s="48"/>
      <c r="G194" s="48"/>
      <c r="H194" s="48"/>
      <c r="I194" s="48"/>
      <c r="J194" s="48"/>
      <c r="K194" s="48"/>
      <c r="L194" s="48"/>
      <c r="M194" s="48"/>
      <c r="N194" s="48"/>
      <c r="O194" s="48"/>
      <c r="P194" s="48"/>
      <c r="Q194" s="48"/>
      <c r="R194" s="48"/>
      <c r="S194" s="48"/>
      <c r="T194" s="26"/>
    </row>
    <row r="195" spans="2:25" s="6" customFormat="1" ht="96" customHeight="1" x14ac:dyDescent="0.25">
      <c r="B195" s="50" t="str">
        <f>'1 lentelė'!$B194</f>
        <v>3.2.5.1</v>
      </c>
      <c r="C195" s="248" t="s">
        <v>669</v>
      </c>
      <c r="D195" s="90" t="str">
        <f>'1 lentelė'!$D194</f>
        <v>Priemonė: Paslaugų ir asmenų aptarnavimo kokybės gerinimas savivaldybėse</v>
      </c>
      <c r="E195" s="50"/>
      <c r="F195" s="50"/>
      <c r="G195" s="50"/>
      <c r="H195" s="279">
        <f>SUM(H196:H202)</f>
        <v>1120076.0899999999</v>
      </c>
      <c r="I195" s="279">
        <f t="shared" ref="I195:S195" si="54">SUM(I196:I202)</f>
        <v>951990.67999999993</v>
      </c>
      <c r="J195" s="279">
        <f t="shared" si="54"/>
        <v>0</v>
      </c>
      <c r="K195" s="279">
        <f t="shared" si="54"/>
        <v>168085.40999999997</v>
      </c>
      <c r="L195" s="279">
        <f t="shared" si="54"/>
        <v>980116.09</v>
      </c>
      <c r="M195" s="279">
        <f t="shared" si="54"/>
        <v>833024.67999999993</v>
      </c>
      <c r="N195" s="279">
        <f t="shared" si="54"/>
        <v>0</v>
      </c>
      <c r="O195" s="279">
        <f t="shared" si="54"/>
        <v>147091.41</v>
      </c>
      <c r="P195" s="279">
        <f t="shared" si="54"/>
        <v>554433.88</v>
      </c>
      <c r="Q195" s="279">
        <f t="shared" si="54"/>
        <v>482698.95000000007</v>
      </c>
      <c r="R195" s="279">
        <f t="shared" si="54"/>
        <v>0</v>
      </c>
      <c r="S195" s="279">
        <f t="shared" si="54"/>
        <v>71734.930000000022</v>
      </c>
      <c r="T195" s="35"/>
    </row>
    <row r="196" spans="2:25" s="33" customFormat="1" ht="87.75" customHeight="1" x14ac:dyDescent="0.25">
      <c r="B196" s="15" t="str">
        <f>'1 lentelė'!$B195</f>
        <v>3.2.5.1.1</v>
      </c>
      <c r="C196" s="15" t="str">
        <f>'1 lentelė'!$C195</f>
        <v>R099920-490000-3229</v>
      </c>
      <c r="D196" s="15" t="str">
        <f>'1 lentelė'!$D195</f>
        <v>Paslaugų ir asmenų aptarnavimo kokybės gerinimas Visagino  savivaldybėje</v>
      </c>
      <c r="E196" s="15" t="str">
        <f>'1 lentelė'!$E195</f>
        <v>Visagino savivaldybės administracija</v>
      </c>
      <c r="F196" s="39" t="s">
        <v>66</v>
      </c>
      <c r="G196" s="39" t="s">
        <v>1090</v>
      </c>
      <c r="H196" s="32">
        <f>'1 lentelė'!$P195</f>
        <v>188236</v>
      </c>
      <c r="I196" s="32">
        <f>'1 lentelė'!$Q195</f>
        <v>160000</v>
      </c>
      <c r="J196" s="32">
        <f>'1 lentelė'!$R195</f>
        <v>0</v>
      </c>
      <c r="K196" s="32">
        <f>'1 lentelė'!$S195</f>
        <v>28236</v>
      </c>
      <c r="L196" s="32">
        <v>188236</v>
      </c>
      <c r="M196" s="32">
        <v>160000</v>
      </c>
      <c r="N196" s="32">
        <v>0</v>
      </c>
      <c r="O196" s="32">
        <v>28236</v>
      </c>
      <c r="P196" s="32">
        <f>Q196+R196+S196</f>
        <v>12319.27</v>
      </c>
      <c r="Q196" s="32">
        <v>11010.52</v>
      </c>
      <c r="R196" s="32">
        <v>0</v>
      </c>
      <c r="S196" s="32">
        <v>1308.75</v>
      </c>
      <c r="T196" s="32"/>
      <c r="V196" s="46">
        <f>L196-M196-N196-O196</f>
        <v>0</v>
      </c>
    </row>
    <row r="197" spans="2:25" s="33" customFormat="1" ht="87" customHeight="1" x14ac:dyDescent="0.25">
      <c r="B197" s="15" t="str">
        <f>'1 lentelė'!$B196</f>
        <v>3.2.5.1.2</v>
      </c>
      <c r="C197" s="15" t="str">
        <f>'1 lentelė'!$C196</f>
        <v>R099920-490000-3230</v>
      </c>
      <c r="D197" s="15" t="str">
        <f>'1 lentelė'!$D196</f>
        <v>Paslaugų ir asmenų aptarnavimo kokybės gerinimas Molėtų rajono savivaldybėje</v>
      </c>
      <c r="E197" s="15" t="str">
        <f>'1 lentelė'!$E196</f>
        <v>Molėtų rajono savivaldybės administracija</v>
      </c>
      <c r="F197" s="39" t="s">
        <v>66</v>
      </c>
      <c r="G197" s="39" t="s">
        <v>1090</v>
      </c>
      <c r="H197" s="32">
        <f>'1 lentelė'!$P196</f>
        <v>186665</v>
      </c>
      <c r="I197" s="32">
        <f>'1 lentelė'!$Q196</f>
        <v>158665</v>
      </c>
      <c r="J197" s="32">
        <f>'1 lentelė'!$R196</f>
        <v>0</v>
      </c>
      <c r="K197" s="32">
        <f>'1 lentelė'!$S196</f>
        <v>28000</v>
      </c>
      <c r="L197" s="32">
        <v>186665</v>
      </c>
      <c r="M197" s="32">
        <v>158665</v>
      </c>
      <c r="N197" s="32">
        <v>0</v>
      </c>
      <c r="O197" s="32">
        <v>28000</v>
      </c>
      <c r="P197" s="32">
        <v>117590.54</v>
      </c>
      <c r="Q197" s="32">
        <v>102338.17</v>
      </c>
      <c r="R197" s="32">
        <v>0</v>
      </c>
      <c r="S197" s="32">
        <f>P197-Q197</f>
        <v>15252.369999999995</v>
      </c>
      <c r="T197" s="32"/>
      <c r="V197" s="46">
        <f t="shared" ref="V197:V202" si="55">L197-M197-N197-O197</f>
        <v>0</v>
      </c>
    </row>
    <row r="198" spans="2:25" s="33" customFormat="1" ht="83.25" customHeight="1" x14ac:dyDescent="0.25">
      <c r="B198" s="15" t="str">
        <f>'1 lentelė'!$B197</f>
        <v xml:space="preserve"> 3.2.5.1.3</v>
      </c>
      <c r="C198" s="15" t="str">
        <f>'1 lentelė'!$C197</f>
        <v>R099920-490000-3231</v>
      </c>
      <c r="D198" s="15" t="str">
        <f>'1 lentelė'!$D197</f>
        <v>Paslaugų ir asmenų aptarnavimo kokybės gerinimas Zarasų rajono savivaldybėje</v>
      </c>
      <c r="E198" s="15" t="str">
        <f>'1 lentelė'!$E197</f>
        <v>Zarasų rajono savivaldybės administracija</v>
      </c>
      <c r="F198" s="39" t="s">
        <v>66</v>
      </c>
      <c r="G198" s="39" t="s">
        <v>1090</v>
      </c>
      <c r="H198" s="32">
        <f>'1 lentelė'!$P197</f>
        <v>154414.51999999999</v>
      </c>
      <c r="I198" s="32">
        <f>'1 lentelė'!$Q197</f>
        <v>131252.34</v>
      </c>
      <c r="J198" s="32">
        <f>'1 lentelė'!$R197</f>
        <v>0</v>
      </c>
      <c r="K198" s="32">
        <f>'1 lentelė'!$S197</f>
        <v>23162.179999999993</v>
      </c>
      <c r="L198" s="32">
        <v>154414.51999999999</v>
      </c>
      <c r="M198" s="32">
        <v>131252.34</v>
      </c>
      <c r="N198" s="32">
        <v>0</v>
      </c>
      <c r="O198" s="32">
        <v>23162.18</v>
      </c>
      <c r="P198" s="32">
        <v>152879.14000000001</v>
      </c>
      <c r="Q198" s="32">
        <v>130979.58</v>
      </c>
      <c r="R198" s="32">
        <v>0</v>
      </c>
      <c r="S198" s="32">
        <f>P198-Q198</f>
        <v>21899.560000000012</v>
      </c>
      <c r="T198" s="32"/>
      <c r="V198" s="46">
        <f t="shared" si="55"/>
        <v>0</v>
      </c>
    </row>
    <row r="199" spans="2:25" s="33" customFormat="1" ht="105" customHeight="1" x14ac:dyDescent="0.25">
      <c r="B199" s="15" t="str">
        <f>'1 lentelė'!$B198</f>
        <v>3.2.5.1.4</v>
      </c>
      <c r="C199" s="15" t="str">
        <f>'1 lentelė'!$C198</f>
        <v>R099920-490000-3232</v>
      </c>
      <c r="D199" s="15" t="str">
        <f>'1 lentelė'!$D198</f>
        <v>Paslaugų ir asmenų aptarnavimo kokybės gerinimas Utenos rajono savivaldybėje, I etapas</v>
      </c>
      <c r="E199" s="15" t="str">
        <f>'1 lentelė'!$E198</f>
        <v>VšĮ "Utenos verslo informacijos centras"</v>
      </c>
      <c r="F199" s="39" t="s">
        <v>66</v>
      </c>
      <c r="G199" s="39" t="s">
        <v>1090</v>
      </c>
      <c r="H199" s="32">
        <f>'1 lentelė'!$P198</f>
        <v>116373.51</v>
      </c>
      <c r="I199" s="32">
        <f>'1 lentelė'!$Q198</f>
        <v>98844.35</v>
      </c>
      <c r="J199" s="32">
        <f>'1 lentelė'!$R198</f>
        <v>0</v>
      </c>
      <c r="K199" s="32">
        <f>'1 lentelė'!$S198</f>
        <v>17529.159999999989</v>
      </c>
      <c r="L199" s="32">
        <v>116373.51000000001</v>
      </c>
      <c r="M199" s="32">
        <v>98844.35</v>
      </c>
      <c r="N199" s="32">
        <v>0</v>
      </c>
      <c r="O199" s="32">
        <v>17529.16</v>
      </c>
      <c r="P199" s="32">
        <v>110338.66</v>
      </c>
      <c r="Q199" s="32">
        <v>93718.52</v>
      </c>
      <c r="R199" s="32">
        <v>0</v>
      </c>
      <c r="S199" s="32">
        <f>P199-Q199</f>
        <v>16620.14</v>
      </c>
      <c r="T199" s="32"/>
      <c r="V199" s="46">
        <f t="shared" si="55"/>
        <v>0</v>
      </c>
    </row>
    <row r="200" spans="2:25" s="33" customFormat="1" ht="89.25" customHeight="1" x14ac:dyDescent="0.25">
      <c r="B200" s="15" t="str">
        <f>'1 lentelė'!$B199</f>
        <v xml:space="preserve"> 3.2.5.1.5</v>
      </c>
      <c r="C200" s="15" t="str">
        <f>'1 lentelė'!$C199</f>
        <v>R099920-490000-3233</v>
      </c>
      <c r="D200" s="15" t="str">
        <f>'1 lentelė'!$D199</f>
        <v>Paslaugų ir asmenų aptarnavimo kokybės gerinimas Anykščių savivaldybėje</v>
      </c>
      <c r="E200" s="15" t="str">
        <f>'1 lentelė'!$E199</f>
        <v>Anykščių rajono savivaldybės administracija</v>
      </c>
      <c r="F200" s="39" t="s">
        <v>66</v>
      </c>
      <c r="G200" s="39" t="s">
        <v>1090</v>
      </c>
      <c r="H200" s="32">
        <f>'1 lentelė'!$P199</f>
        <v>176470.59</v>
      </c>
      <c r="I200" s="32">
        <f>'1 lentelė'!$Q199</f>
        <v>150000</v>
      </c>
      <c r="J200" s="32">
        <f>'1 lentelė'!$R199</f>
        <v>0</v>
      </c>
      <c r="K200" s="32">
        <f>'1 lentelė'!$S199</f>
        <v>26470.589999999997</v>
      </c>
      <c r="L200" s="32">
        <v>176470.59</v>
      </c>
      <c r="M200" s="32">
        <v>150000</v>
      </c>
      <c r="N200" s="32">
        <v>0</v>
      </c>
      <c r="O200" s="32">
        <v>26470.59</v>
      </c>
      <c r="P200" s="32">
        <v>69839.86</v>
      </c>
      <c r="Q200" s="32">
        <v>60863.88</v>
      </c>
      <c r="R200" s="32">
        <v>0</v>
      </c>
      <c r="S200" s="32">
        <f>P200-Q200</f>
        <v>8975.9800000000032</v>
      </c>
      <c r="T200" s="75"/>
      <c r="V200" s="46">
        <f t="shared" si="55"/>
        <v>0</v>
      </c>
    </row>
    <row r="201" spans="2:25" s="33" customFormat="1" ht="88.5" customHeight="1" x14ac:dyDescent="0.25">
      <c r="B201" s="15" t="str">
        <f>'1 lentelė'!$B200</f>
        <v xml:space="preserve"> 3.2.5.1.6</v>
      </c>
      <c r="C201" s="15" t="str">
        <f>'1 lentelė'!$C200</f>
        <v>R099920-490000-3234</v>
      </c>
      <c r="D201" s="15" t="str">
        <f>'1 lentelė'!$D200</f>
        <v>Paslaugų ir asmenų aptarnavimo kokybės gerinimas Ignalinos rajono savivaldybėje</v>
      </c>
      <c r="E201" s="15" t="str">
        <f>'1 lentelė'!$E200</f>
        <v>Ignalinos rajono savivaldybės administracija</v>
      </c>
      <c r="F201" s="39" t="s">
        <v>66</v>
      </c>
      <c r="G201" s="39" t="s">
        <v>1090</v>
      </c>
      <c r="H201" s="29">
        <f>'1 lentelė'!$P200</f>
        <v>157956.47</v>
      </c>
      <c r="I201" s="29">
        <f>'1 lentelė'!$Q200</f>
        <v>134262.99</v>
      </c>
      <c r="J201" s="29">
        <f>'1 lentelė'!$R200</f>
        <v>0</v>
      </c>
      <c r="K201" s="29">
        <f>'1 lentelė'!$S200</f>
        <v>23693.48000000001</v>
      </c>
      <c r="L201" s="29">
        <v>157956.47</v>
      </c>
      <c r="M201" s="29">
        <v>134262.99</v>
      </c>
      <c r="N201" s="29">
        <v>0</v>
      </c>
      <c r="O201" s="29">
        <v>23693.48</v>
      </c>
      <c r="P201" s="29">
        <v>91466.41</v>
      </c>
      <c r="Q201" s="29">
        <v>83788.28</v>
      </c>
      <c r="R201" s="29">
        <v>0</v>
      </c>
      <c r="S201" s="29">
        <f>P201-Q201</f>
        <v>7678.1300000000047</v>
      </c>
      <c r="T201" s="29"/>
      <c r="V201" s="44">
        <f t="shared" si="55"/>
        <v>0</v>
      </c>
    </row>
    <row r="202" spans="2:25" s="6" customFormat="1" ht="85.5" customHeight="1" x14ac:dyDescent="0.25">
      <c r="B202" s="15" t="s">
        <v>1189</v>
      </c>
      <c r="C202" s="15" t="s">
        <v>1190</v>
      </c>
      <c r="D202" s="15" t="s">
        <v>1191</v>
      </c>
      <c r="E202" s="15" t="s">
        <v>152</v>
      </c>
      <c r="F202" s="39" t="s">
        <v>66</v>
      </c>
      <c r="G202" s="39" t="s">
        <v>66</v>
      </c>
      <c r="H202" s="29">
        <v>139960</v>
      </c>
      <c r="I202" s="29">
        <v>118966</v>
      </c>
      <c r="J202" s="29">
        <v>0</v>
      </c>
      <c r="K202" s="29">
        <v>20994</v>
      </c>
      <c r="L202" s="29">
        <v>0</v>
      </c>
      <c r="M202" s="29">
        <v>0</v>
      </c>
      <c r="N202" s="29">
        <v>0</v>
      </c>
      <c r="O202" s="29">
        <v>0</v>
      </c>
      <c r="P202" s="29">
        <v>0</v>
      </c>
      <c r="Q202" s="29">
        <v>0</v>
      </c>
      <c r="R202" s="29">
        <v>0</v>
      </c>
      <c r="S202" s="29">
        <v>0</v>
      </c>
      <c r="T202" s="29"/>
      <c r="V202" s="44">
        <f t="shared" si="55"/>
        <v>0</v>
      </c>
    </row>
    <row r="203" spans="2:25" s="93" customFormat="1" x14ac:dyDescent="0.25">
      <c r="B203" s="103"/>
      <c r="H203" s="95"/>
      <c r="I203" s="95"/>
      <c r="J203" s="95"/>
      <c r="K203" s="95"/>
      <c r="L203" s="104"/>
      <c r="M203" s="104"/>
      <c r="N203" s="104"/>
      <c r="O203" s="104"/>
      <c r="P203" s="104"/>
      <c r="Q203" s="104"/>
      <c r="R203" s="104"/>
      <c r="S203" s="104"/>
      <c r="T203" s="104"/>
    </row>
    <row r="204" spans="2:25" ht="15.75" customHeight="1" x14ac:dyDescent="0.25">
      <c r="B204" s="105" t="s">
        <v>894</v>
      </c>
      <c r="C204" s="106"/>
      <c r="D204" s="106"/>
      <c r="E204" s="106"/>
      <c r="F204" s="106"/>
    </row>
    <row r="205" spans="2:25" x14ac:dyDescent="0.25">
      <c r="B205" s="107" t="s">
        <v>895</v>
      </c>
    </row>
    <row r="206" spans="2:25" x14ac:dyDescent="0.25">
      <c r="B206" s="108"/>
      <c r="C206" s="109"/>
      <c r="D206" s="109"/>
      <c r="E206" s="109"/>
      <c r="F206" s="109"/>
      <c r="G206" s="109"/>
      <c r="H206" s="109"/>
      <c r="I206" s="109"/>
      <c r="J206" s="109"/>
      <c r="K206" s="109"/>
    </row>
    <row r="207" spans="2:25" x14ac:dyDescent="0.25">
      <c r="B207" s="382"/>
      <c r="C207" s="383"/>
      <c r="D207" s="383"/>
      <c r="E207" s="383"/>
      <c r="F207" s="383"/>
      <c r="G207" s="383"/>
      <c r="H207" s="383"/>
      <c r="I207" s="383"/>
      <c r="J207" s="383"/>
      <c r="K207" s="383"/>
    </row>
    <row r="208" spans="2:25" x14ac:dyDescent="0.25">
      <c r="B208" s="108"/>
      <c r="C208" s="109"/>
      <c r="D208" s="109"/>
      <c r="E208" s="109"/>
      <c r="F208" s="109"/>
      <c r="G208" s="109"/>
      <c r="H208" s="109"/>
      <c r="I208" s="109"/>
      <c r="J208" s="109"/>
      <c r="K208" s="109"/>
    </row>
    <row r="209" spans="2:21" x14ac:dyDescent="0.25">
      <c r="B209" s="108"/>
      <c r="C209" s="109"/>
      <c r="D209" s="109"/>
      <c r="E209" s="109"/>
      <c r="F209" s="109"/>
      <c r="G209" s="109"/>
      <c r="H209" s="109"/>
      <c r="I209" s="109"/>
      <c r="J209" s="109"/>
      <c r="K209" s="109"/>
    </row>
    <row r="210" spans="2:21" x14ac:dyDescent="0.25">
      <c r="B210" s="382"/>
      <c r="C210" s="383"/>
      <c r="D210" s="383"/>
      <c r="E210" s="383"/>
      <c r="F210" s="383"/>
      <c r="G210" s="383"/>
      <c r="H210" s="383"/>
      <c r="I210" s="383"/>
      <c r="J210" s="383"/>
      <c r="K210" s="383"/>
    </row>
    <row r="211" spans="2:21" x14ac:dyDescent="0.25">
      <c r="B211" s="108"/>
    </row>
    <row r="212" spans="2:21" x14ac:dyDescent="0.25">
      <c r="B212" s="108"/>
    </row>
    <row r="213" spans="2:21" x14ac:dyDescent="0.25">
      <c r="B213" s="280" t="s">
        <v>867</v>
      </c>
      <c r="C213" s="101"/>
      <c r="D213" s="101"/>
      <c r="E213" s="101"/>
      <c r="F213" s="101"/>
      <c r="G213" s="101"/>
      <c r="H213" s="281">
        <f>'1 lentelė'!$P$202</f>
        <v>0</v>
      </c>
      <c r="I213" s="281">
        <f>'1 lentelė'!$Q$202</f>
        <v>0</v>
      </c>
      <c r="J213" s="281">
        <f>'1 lentelė'!$R$202</f>
        <v>0</v>
      </c>
      <c r="K213" s="281">
        <f>'1 lentelė'!$S$202</f>
        <v>0</v>
      </c>
      <c r="L213" s="281">
        <f t="shared" ref="L213:T213" si="56">SUBTOTAL(9,L9:L202)</f>
        <v>199080712.25999999</v>
      </c>
      <c r="M213" s="281">
        <f t="shared" si="56"/>
        <v>148764320.00999999</v>
      </c>
      <c r="N213" s="281">
        <f t="shared" si="56"/>
        <v>7863853.1100000013</v>
      </c>
      <c r="O213" s="281">
        <f t="shared" si="56"/>
        <v>33458807.849999998</v>
      </c>
      <c r="P213" s="281">
        <f t="shared" si="56"/>
        <v>140623419.5999999</v>
      </c>
      <c r="Q213" s="281">
        <f t="shared" si="56"/>
        <v>107249210.56949995</v>
      </c>
      <c r="R213" s="281">
        <f t="shared" si="56"/>
        <v>4068497.9805000005</v>
      </c>
      <c r="S213" s="281">
        <f t="shared" si="56"/>
        <v>29305711.049999978</v>
      </c>
      <c r="T213" s="281">
        <f t="shared" si="56"/>
        <v>0</v>
      </c>
      <c r="U213" s="93"/>
    </row>
    <row r="214" spans="2:21" x14ac:dyDescent="0.25">
      <c r="B214" s="108"/>
    </row>
    <row r="215" spans="2:21" x14ac:dyDescent="0.25">
      <c r="B215" s="108"/>
    </row>
    <row r="216" spans="2:21" x14ac:dyDescent="0.25">
      <c r="B216" s="382"/>
      <c r="C216" s="383"/>
      <c r="D216" s="383"/>
      <c r="E216" s="383"/>
      <c r="F216" s="383"/>
      <c r="G216" s="383"/>
      <c r="H216" s="383"/>
      <c r="I216" s="383"/>
      <c r="J216" s="383"/>
      <c r="K216" s="383"/>
    </row>
    <row r="217" spans="2:21" x14ac:dyDescent="0.25">
      <c r="B217" s="382"/>
      <c r="C217" s="383"/>
      <c r="D217" s="383"/>
      <c r="E217" s="383"/>
      <c r="F217" s="383"/>
      <c r="G217" s="383"/>
      <c r="H217" s="383"/>
      <c r="I217" s="383"/>
      <c r="J217" s="383"/>
      <c r="K217" s="383"/>
    </row>
    <row r="218" spans="2:21" x14ac:dyDescent="0.25">
      <c r="B218" s="382"/>
      <c r="C218" s="383"/>
      <c r="D218" s="383"/>
      <c r="E218" s="383"/>
      <c r="F218" s="383"/>
      <c r="G218" s="383"/>
      <c r="H218" s="383"/>
      <c r="I218" s="383"/>
      <c r="J218" s="383"/>
      <c r="K218" s="383"/>
    </row>
    <row r="219" spans="2:21" x14ac:dyDescent="0.25">
      <c r="B219" s="382"/>
      <c r="C219" s="383"/>
      <c r="D219" s="383"/>
      <c r="E219" s="383"/>
      <c r="F219" s="383"/>
      <c r="G219" s="383"/>
      <c r="H219" s="383"/>
      <c r="I219" s="383"/>
      <c r="J219" s="383"/>
      <c r="K219" s="383"/>
    </row>
    <row r="220" spans="2:21" x14ac:dyDescent="0.25">
      <c r="B220" s="382"/>
      <c r="C220" s="383"/>
      <c r="D220" s="383"/>
      <c r="E220" s="383"/>
      <c r="F220" s="383"/>
      <c r="G220" s="383"/>
      <c r="H220" s="383"/>
      <c r="I220" s="383"/>
      <c r="J220" s="383"/>
      <c r="K220" s="383"/>
    </row>
    <row r="221" spans="2:21" x14ac:dyDescent="0.25">
      <c r="B221" s="382"/>
      <c r="C221" s="383"/>
      <c r="D221" s="383"/>
      <c r="E221" s="383"/>
      <c r="F221" s="383"/>
      <c r="G221" s="383"/>
      <c r="H221" s="383"/>
      <c r="I221" s="383"/>
      <c r="J221" s="383"/>
      <c r="K221" s="383"/>
    </row>
  </sheetData>
  <mergeCells count="31">
    <mergeCell ref="B219:K219"/>
    <mergeCell ref="B220:K220"/>
    <mergeCell ref="B221:K221"/>
    <mergeCell ref="S7:S8"/>
    <mergeCell ref="B207:K207"/>
    <mergeCell ref="B210:K210"/>
    <mergeCell ref="B216:K216"/>
    <mergeCell ref="B217:K217"/>
    <mergeCell ref="B218:K218"/>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37" customWidth="1"/>
    <col min="10" max="10" width="9.140625" style="235"/>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30" customWidth="1"/>
    <col min="19" max="19" width="9.140625" style="232"/>
    <col min="21" max="21" width="15" style="233" customWidth="1"/>
    <col min="25" max="25" width="10.28515625" customWidth="1"/>
  </cols>
  <sheetData>
    <row r="1" spans="1:25" x14ac:dyDescent="0.25">
      <c r="E1" s="189" t="s">
        <v>1178</v>
      </c>
      <c r="G1" s="228" t="s">
        <v>1170</v>
      </c>
      <c r="H1" s="228" t="s">
        <v>1171</v>
      </c>
      <c r="I1" s="236" t="s">
        <v>1177</v>
      </c>
      <c r="J1" s="234" t="s">
        <v>1171</v>
      </c>
      <c r="K1" s="228" t="s">
        <v>1173</v>
      </c>
      <c r="L1" s="228" t="s">
        <v>1172</v>
      </c>
      <c r="M1" s="228" t="s">
        <v>888</v>
      </c>
      <c r="P1" s="228" t="s">
        <v>1174</v>
      </c>
      <c r="R1" s="229" t="s">
        <v>1170</v>
      </c>
      <c r="S1" s="231" t="s">
        <v>1171</v>
      </c>
      <c r="U1" s="233" t="s">
        <v>1175</v>
      </c>
      <c r="V1" t="s">
        <v>1171</v>
      </c>
      <c r="W1" t="s">
        <v>1173</v>
      </c>
      <c r="X1" t="s">
        <v>1176</v>
      </c>
      <c r="Y1" t="s">
        <v>888</v>
      </c>
    </row>
    <row r="2" spans="1:25" x14ac:dyDescent="0.25">
      <c r="A2" t="s">
        <v>946</v>
      </c>
      <c r="B2" t="s">
        <v>234</v>
      </c>
      <c r="C2" t="s">
        <v>1089</v>
      </c>
      <c r="D2" t="s">
        <v>1090</v>
      </c>
      <c r="E2">
        <v>226399.73</v>
      </c>
      <c r="F2">
        <v>165122</v>
      </c>
      <c r="G2">
        <v>165122</v>
      </c>
      <c r="H2">
        <v>0</v>
      </c>
      <c r="I2" s="237">
        <v>61277.73</v>
      </c>
      <c r="J2" s="235">
        <v>27317.77</v>
      </c>
      <c r="K2">
        <v>33959.96</v>
      </c>
      <c r="L2">
        <v>0</v>
      </c>
      <c r="M2">
        <v>0</v>
      </c>
      <c r="O2">
        <v>129965.61</v>
      </c>
      <c r="P2">
        <v>129965.61</v>
      </c>
      <c r="Q2">
        <v>108051.33</v>
      </c>
      <c r="R2" s="230">
        <v>108051.33</v>
      </c>
      <c r="S2" s="232">
        <v>0</v>
      </c>
      <c r="T2">
        <v>0</v>
      </c>
      <c r="U2" s="233">
        <v>21914.28</v>
      </c>
      <c r="V2">
        <v>9769.44</v>
      </c>
      <c r="W2">
        <v>12144.84</v>
      </c>
      <c r="X2">
        <v>0</v>
      </c>
      <c r="Y2">
        <v>0</v>
      </c>
    </row>
    <row r="3" spans="1:25" x14ac:dyDescent="0.25">
      <c r="A3" t="s">
        <v>948</v>
      </c>
      <c r="B3" t="s">
        <v>1091</v>
      </c>
      <c r="C3" t="s">
        <v>1092</v>
      </c>
      <c r="D3" t="s">
        <v>1090</v>
      </c>
      <c r="E3">
        <v>124320.76</v>
      </c>
      <c r="F3">
        <v>71285</v>
      </c>
      <c r="G3">
        <v>71285</v>
      </c>
      <c r="H3">
        <v>0</v>
      </c>
      <c r="I3" s="237">
        <v>53035.76</v>
      </c>
      <c r="J3" s="235">
        <v>0</v>
      </c>
      <c r="K3">
        <v>53035.76</v>
      </c>
      <c r="L3">
        <v>0</v>
      </c>
      <c r="M3">
        <v>0</v>
      </c>
      <c r="O3">
        <v>21000</v>
      </c>
      <c r="P3">
        <v>21000</v>
      </c>
      <c r="Q3">
        <v>21000</v>
      </c>
      <c r="R3" s="230">
        <v>21000</v>
      </c>
      <c r="S3" s="232">
        <v>0</v>
      </c>
      <c r="T3">
        <v>0</v>
      </c>
      <c r="U3" s="233">
        <v>0</v>
      </c>
      <c r="V3">
        <v>0</v>
      </c>
      <c r="W3">
        <v>0</v>
      </c>
      <c r="X3">
        <v>0</v>
      </c>
      <c r="Y3">
        <v>0</v>
      </c>
    </row>
    <row r="4" spans="1:25" x14ac:dyDescent="0.25">
      <c r="A4" t="s">
        <v>947</v>
      </c>
      <c r="B4" t="s">
        <v>1093</v>
      </c>
      <c r="C4" t="s">
        <v>1094</v>
      </c>
      <c r="D4" t="s">
        <v>1090</v>
      </c>
      <c r="E4">
        <v>206061.75</v>
      </c>
      <c r="F4">
        <v>71645</v>
      </c>
      <c r="G4">
        <v>71645</v>
      </c>
      <c r="H4">
        <v>0</v>
      </c>
      <c r="I4" s="237">
        <v>134416.75</v>
      </c>
      <c r="J4" s="235">
        <v>0</v>
      </c>
      <c r="K4">
        <v>134416.75</v>
      </c>
      <c r="L4">
        <v>0</v>
      </c>
      <c r="M4">
        <v>0</v>
      </c>
      <c r="O4">
        <v>21000</v>
      </c>
      <c r="P4">
        <v>21000</v>
      </c>
      <c r="Q4">
        <v>21000</v>
      </c>
      <c r="R4" s="230">
        <v>21000</v>
      </c>
      <c r="S4" s="232">
        <v>0</v>
      </c>
      <c r="T4">
        <v>0</v>
      </c>
      <c r="U4" s="233">
        <v>0</v>
      </c>
      <c r="V4">
        <v>0</v>
      </c>
      <c r="W4">
        <v>0</v>
      </c>
      <c r="X4">
        <v>0</v>
      </c>
      <c r="Y4">
        <v>0</v>
      </c>
    </row>
    <row r="5" spans="1:25" x14ac:dyDescent="0.25">
      <c r="A5" t="s">
        <v>965</v>
      </c>
      <c r="B5" t="s">
        <v>356</v>
      </c>
      <c r="C5" t="s">
        <v>1095</v>
      </c>
      <c r="D5" t="s">
        <v>1090</v>
      </c>
      <c r="E5">
        <v>1018412.87</v>
      </c>
      <c r="F5">
        <v>865650.94</v>
      </c>
      <c r="G5">
        <v>865650.94</v>
      </c>
      <c r="H5">
        <v>0</v>
      </c>
      <c r="I5" s="237">
        <v>152761.93</v>
      </c>
      <c r="J5" s="235">
        <v>0</v>
      </c>
      <c r="K5">
        <v>0</v>
      </c>
      <c r="L5">
        <v>0</v>
      </c>
      <c r="M5">
        <v>152761.93</v>
      </c>
      <c r="O5">
        <v>371916.4</v>
      </c>
      <c r="P5">
        <v>316128.93</v>
      </c>
      <c r="Q5">
        <v>316128.93</v>
      </c>
      <c r="R5" s="230">
        <v>316128.93</v>
      </c>
      <c r="S5" s="232">
        <v>0</v>
      </c>
      <c r="T5">
        <v>0</v>
      </c>
      <c r="U5" s="233">
        <v>53003.28</v>
      </c>
      <c r="V5">
        <v>0</v>
      </c>
      <c r="W5">
        <v>0</v>
      </c>
      <c r="X5">
        <v>0</v>
      </c>
      <c r="Y5">
        <v>53003.28</v>
      </c>
    </row>
    <row r="6" spans="1:25" x14ac:dyDescent="0.25">
      <c r="A6" t="s">
        <v>966</v>
      </c>
      <c r="B6" t="s">
        <v>361</v>
      </c>
      <c r="C6" t="s">
        <v>1096</v>
      </c>
      <c r="D6" t="s">
        <v>1090</v>
      </c>
      <c r="E6">
        <v>1035219</v>
      </c>
      <c r="F6">
        <v>879936.15</v>
      </c>
      <c r="G6">
        <v>879936.15</v>
      </c>
      <c r="H6">
        <v>0</v>
      </c>
      <c r="I6" s="237">
        <v>155282.85</v>
      </c>
      <c r="J6" s="235">
        <v>0</v>
      </c>
      <c r="K6">
        <v>155282.85</v>
      </c>
      <c r="L6">
        <v>0</v>
      </c>
      <c r="M6">
        <v>0</v>
      </c>
      <c r="O6">
        <v>631422.28</v>
      </c>
      <c r="P6">
        <v>631422.28</v>
      </c>
      <c r="Q6">
        <v>536708.93999999994</v>
      </c>
      <c r="R6" s="230">
        <v>536708.93999999994</v>
      </c>
      <c r="S6" s="232">
        <v>0</v>
      </c>
      <c r="T6">
        <v>0</v>
      </c>
      <c r="U6" s="233">
        <v>94713.34</v>
      </c>
      <c r="V6">
        <v>0</v>
      </c>
      <c r="W6">
        <v>94713.34</v>
      </c>
      <c r="X6">
        <v>0</v>
      </c>
      <c r="Y6">
        <v>0</v>
      </c>
    </row>
    <row r="7" spans="1:25" x14ac:dyDescent="0.25">
      <c r="A7" t="s">
        <v>967</v>
      </c>
      <c r="B7" t="s">
        <v>368</v>
      </c>
      <c r="C7" t="s">
        <v>1097</v>
      </c>
      <c r="D7" t="s">
        <v>1090</v>
      </c>
      <c r="E7">
        <v>670569.16</v>
      </c>
      <c r="F7">
        <v>504770</v>
      </c>
      <c r="G7">
        <v>504770</v>
      </c>
      <c r="H7">
        <v>0</v>
      </c>
      <c r="I7" s="237">
        <v>165799.16</v>
      </c>
      <c r="J7" s="235">
        <v>0</v>
      </c>
      <c r="K7">
        <v>165799.16</v>
      </c>
      <c r="L7">
        <v>0</v>
      </c>
      <c r="M7">
        <v>0</v>
      </c>
      <c r="O7">
        <v>410114.99</v>
      </c>
      <c r="P7">
        <v>410114.99</v>
      </c>
      <c r="Q7">
        <v>345801.2</v>
      </c>
      <c r="R7" s="230">
        <v>345801.2</v>
      </c>
      <c r="S7" s="232">
        <v>0</v>
      </c>
      <c r="T7">
        <v>0</v>
      </c>
      <c r="U7" s="233">
        <v>64313.79</v>
      </c>
      <c r="V7">
        <v>0</v>
      </c>
      <c r="W7">
        <v>64313.79</v>
      </c>
      <c r="X7">
        <v>0</v>
      </c>
      <c r="Y7">
        <v>0</v>
      </c>
    </row>
    <row r="8" spans="1:25" x14ac:dyDescent="0.25">
      <c r="A8" t="s">
        <v>969</v>
      </c>
      <c r="B8" t="s">
        <v>377</v>
      </c>
      <c r="C8" t="s">
        <v>1098</v>
      </c>
      <c r="D8" t="s">
        <v>1090</v>
      </c>
      <c r="E8">
        <v>607406.14</v>
      </c>
      <c r="F8">
        <v>516295.21</v>
      </c>
      <c r="G8">
        <v>516295.21</v>
      </c>
      <c r="H8">
        <v>0</v>
      </c>
      <c r="I8" s="237">
        <v>91110.93</v>
      </c>
      <c r="J8" s="235">
        <v>0</v>
      </c>
      <c r="K8">
        <v>84842.880000000005</v>
      </c>
      <c r="L8">
        <v>6268.05</v>
      </c>
      <c r="M8">
        <v>0</v>
      </c>
      <c r="O8">
        <v>516057.38</v>
      </c>
      <c r="P8">
        <v>516057.38</v>
      </c>
      <c r="Q8">
        <v>462015.86</v>
      </c>
      <c r="R8" s="230">
        <v>462015.86</v>
      </c>
      <c r="S8" s="232">
        <v>0</v>
      </c>
      <c r="T8">
        <v>0</v>
      </c>
      <c r="U8" s="233">
        <v>54041.52</v>
      </c>
      <c r="V8">
        <v>0</v>
      </c>
      <c r="W8">
        <v>50452.05</v>
      </c>
      <c r="X8">
        <v>3589.47</v>
      </c>
      <c r="Y8">
        <v>0</v>
      </c>
    </row>
    <row r="9" spans="1:25" x14ac:dyDescent="0.25">
      <c r="A9" t="s">
        <v>969</v>
      </c>
      <c r="B9" t="s">
        <v>377</v>
      </c>
      <c r="C9" t="s">
        <v>1098</v>
      </c>
      <c r="D9" t="s">
        <v>1090</v>
      </c>
      <c r="N9" t="s">
        <v>1099</v>
      </c>
      <c r="O9">
        <v>0</v>
      </c>
      <c r="P9">
        <v>0</v>
      </c>
      <c r="Q9">
        <v>0</v>
      </c>
      <c r="R9" s="230">
        <v>0</v>
      </c>
      <c r="S9" s="232">
        <v>0</v>
      </c>
      <c r="T9">
        <v>0</v>
      </c>
      <c r="U9" s="233">
        <v>-3772.67</v>
      </c>
      <c r="V9">
        <v>0</v>
      </c>
      <c r="W9">
        <v>-3522.09</v>
      </c>
      <c r="X9">
        <v>-250.58</v>
      </c>
      <c r="Y9">
        <v>0</v>
      </c>
    </row>
    <row r="10" spans="1:25" x14ac:dyDescent="0.25">
      <c r="A10" t="s">
        <v>969</v>
      </c>
      <c r="B10" t="s">
        <v>377</v>
      </c>
      <c r="C10" t="s">
        <v>1098</v>
      </c>
      <c r="D10" t="s">
        <v>1090</v>
      </c>
      <c r="N10" t="s">
        <v>1099</v>
      </c>
      <c r="O10">
        <v>-22579.35</v>
      </c>
      <c r="P10">
        <v>-22579.35</v>
      </c>
      <c r="Q10">
        <v>0</v>
      </c>
      <c r="R10" s="230">
        <v>0</v>
      </c>
      <c r="S10" s="232">
        <v>0</v>
      </c>
      <c r="T10">
        <v>0</v>
      </c>
      <c r="U10" s="233">
        <v>0</v>
      </c>
      <c r="V10">
        <v>0</v>
      </c>
      <c r="W10">
        <v>0</v>
      </c>
      <c r="X10">
        <v>0</v>
      </c>
      <c r="Y10">
        <v>0</v>
      </c>
    </row>
    <row r="11" spans="1:25" x14ac:dyDescent="0.25">
      <c r="A11" t="s">
        <v>969</v>
      </c>
      <c r="B11" t="s">
        <v>377</v>
      </c>
      <c r="C11" t="s">
        <v>1098</v>
      </c>
      <c r="D11" t="s">
        <v>1090</v>
      </c>
      <c r="N11" t="s">
        <v>1099</v>
      </c>
      <c r="O11">
        <v>-2571.75</v>
      </c>
      <c r="P11">
        <v>-2571.75</v>
      </c>
      <c r="Q11">
        <v>0</v>
      </c>
      <c r="R11" s="230">
        <v>0</v>
      </c>
      <c r="S11" s="232">
        <v>0</v>
      </c>
      <c r="T11">
        <v>0</v>
      </c>
      <c r="U11" s="233">
        <v>0</v>
      </c>
      <c r="V11">
        <v>0</v>
      </c>
      <c r="W11">
        <v>0</v>
      </c>
      <c r="X11">
        <v>0</v>
      </c>
      <c r="Y11">
        <v>0</v>
      </c>
    </row>
    <row r="12" spans="1:25" x14ac:dyDescent="0.25">
      <c r="A12" t="s">
        <v>969</v>
      </c>
      <c r="B12" t="s">
        <v>377</v>
      </c>
      <c r="C12" t="s">
        <v>1098</v>
      </c>
      <c r="D12" t="s">
        <v>1090</v>
      </c>
      <c r="N12" t="s">
        <v>1100</v>
      </c>
      <c r="O12">
        <v>0</v>
      </c>
      <c r="P12">
        <v>0</v>
      </c>
      <c r="Q12">
        <v>0</v>
      </c>
      <c r="R12" s="230">
        <v>0</v>
      </c>
      <c r="S12" s="232">
        <v>0</v>
      </c>
      <c r="T12">
        <v>0</v>
      </c>
      <c r="U12" s="233">
        <v>0</v>
      </c>
      <c r="V12">
        <v>0</v>
      </c>
      <c r="W12">
        <v>0</v>
      </c>
      <c r="X12">
        <v>0</v>
      </c>
      <c r="Y12">
        <v>0</v>
      </c>
    </row>
    <row r="13" spans="1:25" x14ac:dyDescent="0.25">
      <c r="A13" t="s">
        <v>968</v>
      </c>
      <c r="B13" t="s">
        <v>1101</v>
      </c>
      <c r="C13" t="s">
        <v>1102</v>
      </c>
      <c r="D13" t="s">
        <v>1090</v>
      </c>
      <c r="E13">
        <v>400317.65</v>
      </c>
      <c r="F13">
        <v>340270</v>
      </c>
      <c r="G13">
        <v>340270</v>
      </c>
      <c r="H13">
        <v>0</v>
      </c>
      <c r="I13" s="237">
        <v>60047.65</v>
      </c>
      <c r="J13" s="235">
        <v>0</v>
      </c>
      <c r="K13">
        <v>60047.65</v>
      </c>
      <c r="L13">
        <v>0</v>
      </c>
      <c r="M13">
        <v>0</v>
      </c>
      <c r="O13">
        <v>109901.74</v>
      </c>
      <c r="P13">
        <v>109901.74</v>
      </c>
      <c r="Q13">
        <v>102081</v>
      </c>
      <c r="R13" s="230">
        <v>102081</v>
      </c>
      <c r="S13" s="232">
        <v>0</v>
      </c>
      <c r="T13">
        <v>0</v>
      </c>
      <c r="U13" s="233">
        <v>1173.1099999999999</v>
      </c>
      <c r="V13">
        <v>0</v>
      </c>
      <c r="W13">
        <v>1173.1099999999999</v>
      </c>
      <c r="X13">
        <v>0</v>
      </c>
      <c r="Y13">
        <v>0</v>
      </c>
    </row>
    <row r="14" spans="1:25" x14ac:dyDescent="0.25">
      <c r="A14" t="s">
        <v>971</v>
      </c>
      <c r="B14" t="s">
        <v>385</v>
      </c>
      <c r="C14" t="s">
        <v>1092</v>
      </c>
      <c r="D14" t="s">
        <v>1090</v>
      </c>
      <c r="E14">
        <v>569725.68000000005</v>
      </c>
      <c r="F14">
        <v>484266.82</v>
      </c>
      <c r="G14">
        <v>484266.82</v>
      </c>
      <c r="H14">
        <v>0</v>
      </c>
      <c r="I14" s="237">
        <v>85458.86</v>
      </c>
      <c r="J14" s="235">
        <v>0</v>
      </c>
      <c r="K14">
        <v>76594.850000000006</v>
      </c>
      <c r="L14">
        <v>0</v>
      </c>
      <c r="M14">
        <v>8864.01</v>
      </c>
      <c r="O14">
        <v>288663.78999999998</v>
      </c>
      <c r="P14">
        <v>286432.96999999997</v>
      </c>
      <c r="Q14">
        <v>267156.23</v>
      </c>
      <c r="R14" s="230">
        <v>267156.23</v>
      </c>
      <c r="S14" s="232">
        <v>0</v>
      </c>
      <c r="T14">
        <v>0</v>
      </c>
      <c r="U14" s="233">
        <v>21507.56</v>
      </c>
      <c r="V14">
        <v>0</v>
      </c>
      <c r="W14">
        <v>19276.740000000002</v>
      </c>
      <c r="X14">
        <v>0</v>
      </c>
      <c r="Y14">
        <v>2230.8200000000002</v>
      </c>
    </row>
    <row r="15" spans="1:25" x14ac:dyDescent="0.25">
      <c r="A15" t="s">
        <v>972</v>
      </c>
      <c r="B15" t="s">
        <v>389</v>
      </c>
      <c r="C15" t="s">
        <v>1094</v>
      </c>
      <c r="D15" t="s">
        <v>1090</v>
      </c>
      <c r="E15">
        <v>616710.03</v>
      </c>
      <c r="F15">
        <v>524203.52000000002</v>
      </c>
      <c r="G15">
        <v>524203.52000000002</v>
      </c>
      <c r="H15">
        <v>0</v>
      </c>
      <c r="I15" s="237">
        <v>92506.51</v>
      </c>
      <c r="J15" s="235">
        <v>0</v>
      </c>
      <c r="K15">
        <v>92506.51</v>
      </c>
      <c r="L15">
        <v>0</v>
      </c>
      <c r="M15">
        <v>0</v>
      </c>
      <c r="O15">
        <v>527429.92000000004</v>
      </c>
      <c r="P15">
        <v>527429.92000000004</v>
      </c>
      <c r="Q15">
        <v>320815.43</v>
      </c>
      <c r="R15" s="230">
        <v>320815.43</v>
      </c>
      <c r="S15" s="232">
        <v>0</v>
      </c>
      <c r="T15">
        <v>0</v>
      </c>
      <c r="U15" s="233">
        <v>2607.29</v>
      </c>
      <c r="V15">
        <v>0</v>
      </c>
      <c r="W15">
        <v>2607.29</v>
      </c>
      <c r="X15">
        <v>0</v>
      </c>
      <c r="Y15">
        <v>0</v>
      </c>
    </row>
    <row r="16" spans="1:25" x14ac:dyDescent="0.25">
      <c r="A16" t="s">
        <v>970</v>
      </c>
      <c r="B16" t="s">
        <v>381</v>
      </c>
      <c r="C16" t="s">
        <v>1089</v>
      </c>
      <c r="D16" t="s">
        <v>1090</v>
      </c>
      <c r="E16">
        <v>566036.31999999995</v>
      </c>
      <c r="F16">
        <v>459270</v>
      </c>
      <c r="G16">
        <v>459270</v>
      </c>
      <c r="H16">
        <v>0</v>
      </c>
      <c r="I16" s="237">
        <v>106766.32</v>
      </c>
      <c r="J16" s="235">
        <v>0</v>
      </c>
      <c r="K16">
        <v>106766.32</v>
      </c>
      <c r="L16">
        <v>0</v>
      </c>
      <c r="M16">
        <v>0</v>
      </c>
      <c r="O16">
        <v>703132.52</v>
      </c>
      <c r="P16">
        <v>703132.52</v>
      </c>
      <c r="Q16">
        <v>459270</v>
      </c>
      <c r="R16" s="230">
        <v>459270</v>
      </c>
      <c r="S16" s="232">
        <v>0</v>
      </c>
      <c r="T16">
        <v>0</v>
      </c>
      <c r="U16" s="233">
        <v>106637.15</v>
      </c>
      <c r="V16">
        <v>0</v>
      </c>
      <c r="W16">
        <v>106637.15</v>
      </c>
      <c r="X16">
        <v>0</v>
      </c>
      <c r="Y16">
        <v>0</v>
      </c>
    </row>
    <row r="17" spans="1:25" x14ac:dyDescent="0.25">
      <c r="A17" t="s">
        <v>956</v>
      </c>
      <c r="B17" t="s">
        <v>1103</v>
      </c>
      <c r="C17" t="s">
        <v>1104</v>
      </c>
      <c r="D17" t="s">
        <v>1090</v>
      </c>
      <c r="E17">
        <v>1392800</v>
      </c>
      <c r="F17">
        <v>789008.78</v>
      </c>
      <c r="G17">
        <v>789008.78</v>
      </c>
      <c r="H17">
        <v>0</v>
      </c>
      <c r="I17" s="237">
        <v>603791.22</v>
      </c>
      <c r="J17" s="235">
        <v>0</v>
      </c>
      <c r="K17">
        <v>603791.22</v>
      </c>
      <c r="L17">
        <v>0</v>
      </c>
      <c r="M17">
        <v>0</v>
      </c>
      <c r="O17">
        <v>714024.13</v>
      </c>
      <c r="P17">
        <v>714024.13</v>
      </c>
      <c r="Q17">
        <v>374694.13</v>
      </c>
      <c r="R17" s="230">
        <v>374694.13</v>
      </c>
      <c r="S17" s="232">
        <v>0</v>
      </c>
      <c r="T17">
        <v>0</v>
      </c>
      <c r="U17" s="233">
        <v>339330</v>
      </c>
      <c r="V17">
        <v>0</v>
      </c>
      <c r="W17">
        <v>339330</v>
      </c>
      <c r="X17">
        <v>0</v>
      </c>
      <c r="Y17">
        <v>0</v>
      </c>
    </row>
    <row r="18" spans="1:25" x14ac:dyDescent="0.25">
      <c r="A18" t="s">
        <v>957</v>
      </c>
      <c r="B18" t="s">
        <v>1105</v>
      </c>
      <c r="C18" t="s">
        <v>1106</v>
      </c>
      <c r="D18" t="s">
        <v>1090</v>
      </c>
      <c r="E18">
        <v>1229574.68</v>
      </c>
      <c r="F18">
        <v>823834.4</v>
      </c>
      <c r="G18">
        <v>823834.4</v>
      </c>
      <c r="H18">
        <v>0</v>
      </c>
      <c r="I18" s="237">
        <v>405740.28</v>
      </c>
      <c r="J18" s="235">
        <v>0</v>
      </c>
      <c r="K18">
        <v>77088.759999999995</v>
      </c>
      <c r="L18">
        <v>0</v>
      </c>
      <c r="M18">
        <v>328651.52000000002</v>
      </c>
      <c r="O18">
        <v>875616.17</v>
      </c>
      <c r="P18">
        <v>677828.02</v>
      </c>
      <c r="Q18">
        <v>556212.31000000006</v>
      </c>
      <c r="R18" s="230">
        <v>556212.31000000006</v>
      </c>
      <c r="S18" s="232">
        <v>0</v>
      </c>
      <c r="T18">
        <v>0</v>
      </c>
      <c r="U18" s="233">
        <v>319403.86</v>
      </c>
      <c r="V18">
        <v>0</v>
      </c>
      <c r="W18">
        <v>77095.33</v>
      </c>
      <c r="X18">
        <v>0</v>
      </c>
      <c r="Y18">
        <v>242308.53</v>
      </c>
    </row>
    <row r="19" spans="1:25" x14ac:dyDescent="0.25">
      <c r="A19" t="s">
        <v>960</v>
      </c>
      <c r="B19" t="s">
        <v>1107</v>
      </c>
      <c r="C19" t="s">
        <v>1108</v>
      </c>
      <c r="D19" t="s">
        <v>1090</v>
      </c>
      <c r="E19">
        <v>1226741.69</v>
      </c>
      <c r="F19">
        <v>824798.84</v>
      </c>
      <c r="G19">
        <v>824798.84</v>
      </c>
      <c r="H19">
        <v>0</v>
      </c>
      <c r="I19" s="237">
        <v>401942.85</v>
      </c>
      <c r="J19" s="235">
        <v>0</v>
      </c>
      <c r="K19">
        <v>0</v>
      </c>
      <c r="L19">
        <v>0</v>
      </c>
      <c r="M19">
        <v>401942.85</v>
      </c>
      <c r="O19">
        <v>908170.39</v>
      </c>
      <c r="P19">
        <v>609056.39</v>
      </c>
      <c r="Q19">
        <v>608860.23</v>
      </c>
      <c r="R19" s="230">
        <v>608860.23</v>
      </c>
      <c r="S19" s="232">
        <v>0</v>
      </c>
      <c r="T19">
        <v>0</v>
      </c>
      <c r="U19" s="233">
        <v>299310.15999999997</v>
      </c>
      <c r="V19">
        <v>0</v>
      </c>
      <c r="W19">
        <v>0</v>
      </c>
      <c r="X19">
        <v>0</v>
      </c>
      <c r="Y19">
        <v>299310.15999999997</v>
      </c>
    </row>
    <row r="20" spans="1:25" x14ac:dyDescent="0.25">
      <c r="A20" t="s">
        <v>959</v>
      </c>
      <c r="B20" t="s">
        <v>1109</v>
      </c>
      <c r="C20" t="s">
        <v>1110</v>
      </c>
      <c r="D20" t="s">
        <v>1090</v>
      </c>
      <c r="E20">
        <v>1665450</v>
      </c>
      <c r="F20">
        <v>1110408</v>
      </c>
      <c r="G20">
        <v>1110408</v>
      </c>
      <c r="H20">
        <v>0</v>
      </c>
      <c r="I20" s="237">
        <v>555042</v>
      </c>
      <c r="J20" s="235">
        <v>0</v>
      </c>
      <c r="K20">
        <v>0</v>
      </c>
      <c r="L20">
        <v>0</v>
      </c>
      <c r="M20">
        <v>555042</v>
      </c>
      <c r="O20">
        <v>1196833.49</v>
      </c>
      <c r="P20">
        <v>884148.56</v>
      </c>
      <c r="Q20">
        <v>664148.55000000005</v>
      </c>
      <c r="R20" s="230">
        <v>664148.55000000005</v>
      </c>
      <c r="S20" s="232">
        <v>0</v>
      </c>
      <c r="T20">
        <v>0</v>
      </c>
      <c r="U20" s="233">
        <v>312684.94</v>
      </c>
      <c r="V20">
        <v>0</v>
      </c>
      <c r="W20">
        <v>0</v>
      </c>
      <c r="X20">
        <v>0</v>
      </c>
      <c r="Y20">
        <v>312684.94</v>
      </c>
    </row>
    <row r="21" spans="1:25" x14ac:dyDescent="0.25">
      <c r="A21" t="s">
        <v>959</v>
      </c>
      <c r="B21" t="s">
        <v>1109</v>
      </c>
      <c r="C21" t="s">
        <v>1110</v>
      </c>
      <c r="D21" t="s">
        <v>1090</v>
      </c>
      <c r="N21" t="s">
        <v>1099</v>
      </c>
      <c r="O21">
        <v>0</v>
      </c>
      <c r="P21">
        <v>0</v>
      </c>
      <c r="Q21">
        <v>0</v>
      </c>
      <c r="R21" s="230">
        <v>0</v>
      </c>
      <c r="S21" s="232">
        <v>0</v>
      </c>
      <c r="T21">
        <v>0</v>
      </c>
      <c r="U21" s="233">
        <v>-59287.85</v>
      </c>
      <c r="V21">
        <v>0</v>
      </c>
      <c r="W21">
        <v>0</v>
      </c>
      <c r="X21">
        <v>0</v>
      </c>
      <c r="Y21">
        <v>-59287.85</v>
      </c>
    </row>
    <row r="22" spans="1:25" x14ac:dyDescent="0.25">
      <c r="A22" t="s">
        <v>959</v>
      </c>
      <c r="B22" t="s">
        <v>1109</v>
      </c>
      <c r="C22" t="s">
        <v>1110</v>
      </c>
      <c r="D22" t="s">
        <v>1090</v>
      </c>
      <c r="N22" t="s">
        <v>1099</v>
      </c>
      <c r="O22">
        <v>-211180</v>
      </c>
      <c r="P22">
        <v>-151892.15</v>
      </c>
      <c r="Q22">
        <v>0</v>
      </c>
      <c r="R22" s="230">
        <v>0</v>
      </c>
      <c r="S22" s="232">
        <v>0</v>
      </c>
      <c r="T22">
        <v>0</v>
      </c>
      <c r="U22" s="233">
        <v>0</v>
      </c>
      <c r="V22">
        <v>0</v>
      </c>
      <c r="W22">
        <v>0</v>
      </c>
      <c r="X22">
        <v>0</v>
      </c>
      <c r="Y22">
        <v>0</v>
      </c>
    </row>
    <row r="23" spans="1:25" x14ac:dyDescent="0.25">
      <c r="A23" t="s">
        <v>958</v>
      </c>
      <c r="B23" t="s">
        <v>1111</v>
      </c>
      <c r="C23" t="s">
        <v>1112</v>
      </c>
      <c r="D23" t="s">
        <v>880</v>
      </c>
      <c r="E23">
        <v>3752037.22</v>
      </c>
      <c r="F23">
        <v>1717232.99</v>
      </c>
      <c r="G23">
        <v>1717232.99</v>
      </c>
      <c r="H23">
        <v>0</v>
      </c>
      <c r="I23" s="237">
        <v>2034804.23</v>
      </c>
      <c r="J23" s="235">
        <v>0</v>
      </c>
      <c r="K23">
        <v>0</v>
      </c>
      <c r="L23">
        <v>0</v>
      </c>
      <c r="M23">
        <v>2034804.23</v>
      </c>
      <c r="O23">
        <v>3744065.92</v>
      </c>
      <c r="P23">
        <v>2901475.15</v>
      </c>
      <c r="Q23">
        <v>1713584.68</v>
      </c>
      <c r="R23" s="230">
        <v>1713584.68</v>
      </c>
      <c r="S23" s="232">
        <v>0</v>
      </c>
      <c r="T23">
        <v>0</v>
      </c>
      <c r="U23" s="233">
        <v>2030481.24</v>
      </c>
      <c r="V23">
        <v>0</v>
      </c>
      <c r="W23">
        <v>0</v>
      </c>
      <c r="X23">
        <v>1187890.47</v>
      </c>
      <c r="Y23">
        <v>842590.77</v>
      </c>
    </row>
    <row r="24" spans="1:25" x14ac:dyDescent="0.25">
      <c r="A24" t="s">
        <v>961</v>
      </c>
      <c r="B24" t="s">
        <v>333</v>
      </c>
      <c r="C24" t="s">
        <v>1113</v>
      </c>
      <c r="D24" t="s">
        <v>1090</v>
      </c>
      <c r="E24">
        <v>2011598.52</v>
      </c>
      <c r="F24">
        <v>1609278.82</v>
      </c>
      <c r="G24">
        <v>1609278.82</v>
      </c>
      <c r="H24">
        <v>0</v>
      </c>
      <c r="I24" s="237">
        <v>402319.7</v>
      </c>
      <c r="J24" s="235">
        <v>0</v>
      </c>
      <c r="K24">
        <v>0</v>
      </c>
      <c r="L24">
        <v>0</v>
      </c>
      <c r="M24">
        <v>402319.7</v>
      </c>
      <c r="O24">
        <v>1620494.31</v>
      </c>
      <c r="P24">
        <v>1296395.45</v>
      </c>
      <c r="Q24">
        <v>1296395.45</v>
      </c>
      <c r="R24" s="230">
        <v>1296395.45</v>
      </c>
      <c r="S24" s="232">
        <v>0</v>
      </c>
      <c r="T24">
        <v>0</v>
      </c>
      <c r="U24" s="233">
        <v>324098.86</v>
      </c>
      <c r="V24">
        <v>0</v>
      </c>
      <c r="W24">
        <v>0</v>
      </c>
      <c r="X24">
        <v>0</v>
      </c>
      <c r="Y24">
        <v>324098.86</v>
      </c>
    </row>
    <row r="25" spans="1:25" x14ac:dyDescent="0.25">
      <c r="A25" t="s">
        <v>963</v>
      </c>
      <c r="B25" t="s">
        <v>348</v>
      </c>
      <c r="C25" t="s">
        <v>1106</v>
      </c>
      <c r="D25" t="s">
        <v>1090</v>
      </c>
      <c r="E25">
        <v>677199.48</v>
      </c>
      <c r="F25">
        <v>375000</v>
      </c>
      <c r="G25">
        <v>375000</v>
      </c>
      <c r="H25">
        <v>0</v>
      </c>
      <c r="I25" s="237">
        <v>302199.48</v>
      </c>
      <c r="J25" s="235">
        <v>0</v>
      </c>
      <c r="K25">
        <v>271961.78000000003</v>
      </c>
      <c r="L25">
        <v>0</v>
      </c>
      <c r="M25">
        <v>30237.7</v>
      </c>
      <c r="O25">
        <v>15700</v>
      </c>
      <c r="P25">
        <v>14998.98</v>
      </c>
      <c r="Q25">
        <v>8693.89</v>
      </c>
      <c r="R25" s="230">
        <v>8693.89</v>
      </c>
      <c r="S25" s="232">
        <v>0</v>
      </c>
      <c r="T25">
        <v>0</v>
      </c>
      <c r="U25" s="233">
        <v>7006.11</v>
      </c>
      <c r="V25">
        <v>0</v>
      </c>
      <c r="W25">
        <v>6305.09</v>
      </c>
      <c r="X25">
        <v>0</v>
      </c>
      <c r="Y25">
        <v>701.02</v>
      </c>
    </row>
    <row r="26" spans="1:25" x14ac:dyDescent="0.25">
      <c r="A26" t="s">
        <v>955</v>
      </c>
      <c r="B26" t="s">
        <v>1114</v>
      </c>
      <c r="C26" t="s">
        <v>1094</v>
      </c>
      <c r="D26" t="s">
        <v>1115</v>
      </c>
      <c r="E26">
        <v>298749.28000000003</v>
      </c>
      <c r="F26">
        <v>253936.88</v>
      </c>
      <c r="G26">
        <v>253936.88</v>
      </c>
      <c r="H26">
        <v>0</v>
      </c>
      <c r="I26" s="237">
        <v>44812.4</v>
      </c>
      <c r="J26" s="235">
        <v>0</v>
      </c>
      <c r="K26">
        <v>44812.4</v>
      </c>
      <c r="L26">
        <v>0</v>
      </c>
      <c r="M26">
        <v>0</v>
      </c>
      <c r="O26">
        <v>0</v>
      </c>
      <c r="P26">
        <v>0</v>
      </c>
      <c r="Q26">
        <v>0</v>
      </c>
      <c r="R26" s="230">
        <v>0</v>
      </c>
      <c r="S26" s="232">
        <v>0</v>
      </c>
      <c r="T26">
        <v>0</v>
      </c>
      <c r="U26" s="233">
        <v>0</v>
      </c>
      <c r="V26">
        <v>0</v>
      </c>
      <c r="W26">
        <v>0</v>
      </c>
      <c r="X26">
        <v>0</v>
      </c>
      <c r="Y26">
        <v>0</v>
      </c>
    </row>
    <row r="27" spans="1:25" x14ac:dyDescent="0.25">
      <c r="A27" t="s">
        <v>955</v>
      </c>
      <c r="B27" t="s">
        <v>1114</v>
      </c>
      <c r="C27" t="s">
        <v>1094</v>
      </c>
      <c r="D27" t="s">
        <v>1115</v>
      </c>
      <c r="N27" t="s">
        <v>1116</v>
      </c>
      <c r="O27">
        <v>0</v>
      </c>
      <c r="P27">
        <v>0</v>
      </c>
      <c r="Q27">
        <v>0</v>
      </c>
      <c r="R27" s="230">
        <v>0</v>
      </c>
      <c r="S27" s="232">
        <v>0</v>
      </c>
      <c r="T27">
        <v>0</v>
      </c>
      <c r="U27" s="233">
        <v>-2455.7399999999998</v>
      </c>
      <c r="V27">
        <v>0</v>
      </c>
      <c r="W27">
        <v>-2455.7399999999998</v>
      </c>
      <c r="X27">
        <v>0</v>
      </c>
      <c r="Y27">
        <v>0</v>
      </c>
    </row>
    <row r="28" spans="1:25" x14ac:dyDescent="0.25">
      <c r="A28" t="s">
        <v>955</v>
      </c>
      <c r="B28" t="s">
        <v>1114</v>
      </c>
      <c r="C28" t="s">
        <v>1094</v>
      </c>
      <c r="D28" t="s">
        <v>1115</v>
      </c>
      <c r="N28" t="s">
        <v>1116</v>
      </c>
      <c r="O28">
        <v>-16371.56</v>
      </c>
      <c r="P28">
        <v>-16371.56</v>
      </c>
      <c r="Q28">
        <v>-13915.82</v>
      </c>
      <c r="R28" s="230">
        <v>-13915.82</v>
      </c>
      <c r="S28" s="232">
        <v>0</v>
      </c>
      <c r="T28">
        <v>0</v>
      </c>
      <c r="U28" s="233">
        <v>0</v>
      </c>
      <c r="V28">
        <v>0</v>
      </c>
      <c r="W28">
        <v>0</v>
      </c>
      <c r="X28">
        <v>0</v>
      </c>
      <c r="Y28">
        <v>0</v>
      </c>
    </row>
    <row r="29" spans="1:25" x14ac:dyDescent="0.25">
      <c r="A29" t="s">
        <v>951</v>
      </c>
      <c r="B29" t="s">
        <v>1117</v>
      </c>
      <c r="C29" t="s">
        <v>1098</v>
      </c>
      <c r="D29" t="s">
        <v>1090</v>
      </c>
      <c r="E29">
        <v>493252.18</v>
      </c>
      <c r="F29">
        <v>419264.35</v>
      </c>
      <c r="G29">
        <v>419264.35</v>
      </c>
      <c r="H29">
        <v>0</v>
      </c>
      <c r="I29" s="237">
        <v>73987.83</v>
      </c>
      <c r="J29" s="235">
        <v>0</v>
      </c>
      <c r="K29">
        <v>73987.83</v>
      </c>
      <c r="L29">
        <v>0</v>
      </c>
      <c r="M29">
        <v>0</v>
      </c>
      <c r="O29">
        <v>424421.17</v>
      </c>
      <c r="P29">
        <v>424421.17</v>
      </c>
      <c r="Q29">
        <v>318507.99</v>
      </c>
      <c r="R29" s="230">
        <v>318507.99</v>
      </c>
      <c r="S29" s="232">
        <v>0</v>
      </c>
      <c r="T29">
        <v>0</v>
      </c>
      <c r="U29" s="233">
        <v>50913.18</v>
      </c>
      <c r="V29">
        <v>0</v>
      </c>
      <c r="W29">
        <v>50913.18</v>
      </c>
      <c r="X29">
        <v>0</v>
      </c>
      <c r="Y29">
        <v>0</v>
      </c>
    </row>
    <row r="30" spans="1:25" x14ac:dyDescent="0.25">
      <c r="A30" t="s">
        <v>952</v>
      </c>
      <c r="B30" t="s">
        <v>1118</v>
      </c>
      <c r="C30" t="s">
        <v>1094</v>
      </c>
      <c r="D30" t="s">
        <v>1090</v>
      </c>
      <c r="E30">
        <v>282956.7</v>
      </c>
      <c r="F30">
        <v>240513.19</v>
      </c>
      <c r="G30">
        <v>240513.19</v>
      </c>
      <c r="H30">
        <v>0</v>
      </c>
      <c r="I30" s="237">
        <v>42443.51</v>
      </c>
      <c r="J30" s="235">
        <v>0</v>
      </c>
      <c r="K30">
        <v>42443.51</v>
      </c>
      <c r="L30">
        <v>0</v>
      </c>
      <c r="M30">
        <v>0</v>
      </c>
      <c r="O30">
        <v>206076.89</v>
      </c>
      <c r="P30">
        <v>206076.89</v>
      </c>
      <c r="Q30">
        <v>175165.35</v>
      </c>
      <c r="R30" s="230">
        <v>175165.35</v>
      </c>
      <c r="S30" s="232">
        <v>0</v>
      </c>
      <c r="T30">
        <v>0</v>
      </c>
      <c r="U30" s="233">
        <v>30911.54</v>
      </c>
      <c r="V30">
        <v>0</v>
      </c>
      <c r="W30">
        <v>30911.54</v>
      </c>
      <c r="X30">
        <v>0</v>
      </c>
      <c r="Y30">
        <v>0</v>
      </c>
    </row>
    <row r="31" spans="1:25" x14ac:dyDescent="0.25">
      <c r="A31" t="s">
        <v>952</v>
      </c>
      <c r="B31" t="s">
        <v>1118</v>
      </c>
      <c r="C31" t="s">
        <v>1094</v>
      </c>
      <c r="D31" t="s">
        <v>1090</v>
      </c>
      <c r="N31" t="s">
        <v>1099</v>
      </c>
      <c r="O31">
        <v>0</v>
      </c>
      <c r="P31">
        <v>0</v>
      </c>
      <c r="Q31">
        <v>0</v>
      </c>
      <c r="R31" s="230">
        <v>0</v>
      </c>
      <c r="S31" s="232">
        <v>0</v>
      </c>
      <c r="T31">
        <v>0</v>
      </c>
      <c r="U31" s="233">
        <v>-546.94000000000005</v>
      </c>
      <c r="V31">
        <v>0</v>
      </c>
      <c r="W31">
        <v>-546.94000000000005</v>
      </c>
      <c r="X31">
        <v>0</v>
      </c>
      <c r="Y31">
        <v>0</v>
      </c>
    </row>
    <row r="32" spans="1:25" x14ac:dyDescent="0.25">
      <c r="A32" t="s">
        <v>952</v>
      </c>
      <c r="B32" t="s">
        <v>1118</v>
      </c>
      <c r="C32" t="s">
        <v>1094</v>
      </c>
      <c r="D32" t="s">
        <v>1090</v>
      </c>
      <c r="N32" t="s">
        <v>1099</v>
      </c>
      <c r="O32">
        <v>-3646.27</v>
      </c>
      <c r="P32">
        <v>-3646.27</v>
      </c>
      <c r="Q32">
        <v>0</v>
      </c>
      <c r="R32" s="230">
        <v>0</v>
      </c>
      <c r="S32" s="232">
        <v>0</v>
      </c>
      <c r="T32">
        <v>0</v>
      </c>
      <c r="U32" s="233">
        <v>0</v>
      </c>
      <c r="V32">
        <v>0</v>
      </c>
      <c r="W32">
        <v>0</v>
      </c>
      <c r="X32">
        <v>0</v>
      </c>
      <c r="Y32">
        <v>0</v>
      </c>
    </row>
    <row r="33" spans="1:25" x14ac:dyDescent="0.25">
      <c r="A33" t="s">
        <v>952</v>
      </c>
      <c r="B33" t="s">
        <v>1118</v>
      </c>
      <c r="C33" t="s">
        <v>1094</v>
      </c>
      <c r="D33" t="s">
        <v>1090</v>
      </c>
      <c r="N33" t="s">
        <v>1099</v>
      </c>
      <c r="O33">
        <v>0</v>
      </c>
      <c r="P33">
        <v>0</v>
      </c>
      <c r="Q33">
        <v>0</v>
      </c>
      <c r="R33" s="230">
        <v>0</v>
      </c>
      <c r="S33" s="232">
        <v>0</v>
      </c>
      <c r="T33">
        <v>0</v>
      </c>
      <c r="U33" s="233">
        <v>-6.02</v>
      </c>
      <c r="V33">
        <v>0</v>
      </c>
      <c r="W33">
        <v>-6.02</v>
      </c>
      <c r="X33">
        <v>0</v>
      </c>
      <c r="Y33">
        <v>0</v>
      </c>
    </row>
    <row r="34" spans="1:25" x14ac:dyDescent="0.25">
      <c r="A34" t="s">
        <v>952</v>
      </c>
      <c r="B34" t="s">
        <v>1118</v>
      </c>
      <c r="C34" t="s">
        <v>1094</v>
      </c>
      <c r="D34" t="s">
        <v>1090</v>
      </c>
      <c r="N34" t="s">
        <v>1099</v>
      </c>
      <c r="O34">
        <v>-40.1</v>
      </c>
      <c r="P34">
        <v>-40.1</v>
      </c>
      <c r="Q34">
        <v>0</v>
      </c>
      <c r="R34" s="230">
        <v>0</v>
      </c>
      <c r="S34" s="232">
        <v>0</v>
      </c>
      <c r="T34">
        <v>0</v>
      </c>
      <c r="U34" s="233">
        <v>0</v>
      </c>
      <c r="V34">
        <v>0</v>
      </c>
      <c r="W34">
        <v>0</v>
      </c>
      <c r="X34">
        <v>0</v>
      </c>
      <c r="Y34">
        <v>0</v>
      </c>
    </row>
    <row r="35" spans="1:25" x14ac:dyDescent="0.25">
      <c r="A35" t="s">
        <v>953</v>
      </c>
      <c r="B35" t="s">
        <v>1119</v>
      </c>
      <c r="C35" t="s">
        <v>1089</v>
      </c>
      <c r="D35" t="s">
        <v>1090</v>
      </c>
      <c r="E35">
        <v>270483.15000000002</v>
      </c>
      <c r="F35">
        <v>221058</v>
      </c>
      <c r="G35">
        <v>221058</v>
      </c>
      <c r="H35">
        <v>0</v>
      </c>
      <c r="I35" s="237">
        <v>49425.15</v>
      </c>
      <c r="J35" s="235">
        <v>0</v>
      </c>
      <c r="K35">
        <v>49425.15</v>
      </c>
      <c r="L35">
        <v>0</v>
      </c>
      <c r="M35">
        <v>0</v>
      </c>
      <c r="O35">
        <v>245663.75</v>
      </c>
      <c r="P35">
        <v>245663.75</v>
      </c>
      <c r="Q35">
        <v>177891.94</v>
      </c>
      <c r="R35" s="230">
        <v>177891.94</v>
      </c>
      <c r="S35" s="232">
        <v>0</v>
      </c>
      <c r="T35">
        <v>0</v>
      </c>
      <c r="U35" s="233">
        <v>32771.81</v>
      </c>
      <c r="V35">
        <v>0</v>
      </c>
      <c r="W35">
        <v>32771.81</v>
      </c>
      <c r="X35">
        <v>0</v>
      </c>
      <c r="Y35">
        <v>0</v>
      </c>
    </row>
    <row r="36" spans="1:25" x14ac:dyDescent="0.25">
      <c r="A36" t="s">
        <v>954</v>
      </c>
      <c r="B36" t="s">
        <v>292</v>
      </c>
      <c r="C36" t="s">
        <v>1092</v>
      </c>
      <c r="D36" t="s">
        <v>1090</v>
      </c>
      <c r="E36">
        <v>417260.75</v>
      </c>
      <c r="F36">
        <v>284719.81</v>
      </c>
      <c r="G36">
        <v>284719.81</v>
      </c>
      <c r="H36">
        <v>0</v>
      </c>
      <c r="I36" s="237">
        <v>132540.94</v>
      </c>
      <c r="J36" s="235">
        <v>0</v>
      </c>
      <c r="K36">
        <v>132540.94</v>
      </c>
      <c r="L36">
        <v>0</v>
      </c>
      <c r="M36">
        <v>0</v>
      </c>
      <c r="O36">
        <v>15000</v>
      </c>
      <c r="P36">
        <v>15000</v>
      </c>
      <c r="Q36">
        <v>15000</v>
      </c>
      <c r="R36" s="230">
        <v>15000</v>
      </c>
      <c r="S36" s="232">
        <v>0</v>
      </c>
      <c r="T36">
        <v>0</v>
      </c>
      <c r="U36" s="233">
        <v>0</v>
      </c>
      <c r="V36">
        <v>0</v>
      </c>
      <c r="W36">
        <v>0</v>
      </c>
      <c r="X36">
        <v>0</v>
      </c>
      <c r="Y36">
        <v>0</v>
      </c>
    </row>
    <row r="37" spans="1:25" x14ac:dyDescent="0.25">
      <c r="A37" t="s">
        <v>977</v>
      </c>
      <c r="B37" t="s">
        <v>1120</v>
      </c>
      <c r="C37" t="s">
        <v>1098</v>
      </c>
      <c r="D37" t="s">
        <v>880</v>
      </c>
      <c r="E37">
        <v>238835.47</v>
      </c>
      <c r="F37">
        <v>203010.14</v>
      </c>
      <c r="G37">
        <v>203010.14</v>
      </c>
      <c r="H37">
        <v>0</v>
      </c>
      <c r="I37" s="237">
        <v>35825.33</v>
      </c>
      <c r="J37" s="235">
        <v>0</v>
      </c>
      <c r="K37">
        <v>35825.33</v>
      </c>
      <c r="L37">
        <v>0</v>
      </c>
      <c r="M37">
        <v>0</v>
      </c>
      <c r="O37">
        <v>238835.47</v>
      </c>
      <c r="P37">
        <v>238835.47</v>
      </c>
      <c r="Q37">
        <v>203010.14</v>
      </c>
      <c r="R37" s="230">
        <v>203010.14</v>
      </c>
      <c r="S37" s="232">
        <v>0</v>
      </c>
      <c r="T37">
        <v>0</v>
      </c>
      <c r="U37" s="233">
        <v>35825.33</v>
      </c>
      <c r="V37">
        <v>0</v>
      </c>
      <c r="W37">
        <v>35825.33</v>
      </c>
      <c r="X37">
        <v>0</v>
      </c>
      <c r="Y37">
        <v>0</v>
      </c>
    </row>
    <row r="38" spans="1:25" x14ac:dyDescent="0.25">
      <c r="A38" t="s">
        <v>974</v>
      </c>
      <c r="B38" t="s">
        <v>399</v>
      </c>
      <c r="C38" t="s">
        <v>1089</v>
      </c>
      <c r="D38" t="s">
        <v>1090</v>
      </c>
      <c r="E38">
        <v>401597.48</v>
      </c>
      <c r="F38">
        <v>325725</v>
      </c>
      <c r="G38">
        <v>325725</v>
      </c>
      <c r="H38">
        <v>0</v>
      </c>
      <c r="I38" s="237">
        <v>75872.479999999996</v>
      </c>
      <c r="J38" s="235">
        <v>0</v>
      </c>
      <c r="K38">
        <v>75872.479999999996</v>
      </c>
      <c r="L38">
        <v>0</v>
      </c>
      <c r="M38">
        <v>0</v>
      </c>
      <c r="O38">
        <v>406740.3</v>
      </c>
      <c r="P38">
        <v>406740.3</v>
      </c>
      <c r="Q38">
        <v>294350.88</v>
      </c>
      <c r="R38" s="230">
        <v>294350.88</v>
      </c>
      <c r="S38" s="232">
        <v>0</v>
      </c>
      <c r="T38">
        <v>0</v>
      </c>
      <c r="U38" s="233">
        <v>64661.31</v>
      </c>
      <c r="V38">
        <v>0</v>
      </c>
      <c r="W38">
        <v>64661.31</v>
      </c>
      <c r="X38">
        <v>0</v>
      </c>
      <c r="Y38">
        <v>0</v>
      </c>
    </row>
    <row r="39" spans="1:25" x14ac:dyDescent="0.25">
      <c r="A39" t="s">
        <v>976</v>
      </c>
      <c r="B39" t="s">
        <v>406</v>
      </c>
      <c r="C39" t="s">
        <v>1094</v>
      </c>
      <c r="D39" t="s">
        <v>1090</v>
      </c>
      <c r="E39">
        <v>591365.71</v>
      </c>
      <c r="F39">
        <v>502660.84</v>
      </c>
      <c r="G39">
        <v>502660.84</v>
      </c>
      <c r="H39">
        <v>0</v>
      </c>
      <c r="I39" s="237">
        <v>88704.87</v>
      </c>
      <c r="J39" s="235">
        <v>0</v>
      </c>
      <c r="K39">
        <v>88704.87</v>
      </c>
      <c r="L39">
        <v>0</v>
      </c>
      <c r="M39">
        <v>0</v>
      </c>
      <c r="O39">
        <v>70822.81</v>
      </c>
      <c r="P39">
        <v>70822.81</v>
      </c>
      <c r="Q39">
        <v>66199.39</v>
      </c>
      <c r="R39" s="230">
        <v>66199.39</v>
      </c>
      <c r="S39" s="232">
        <v>0</v>
      </c>
      <c r="T39">
        <v>0</v>
      </c>
      <c r="U39" s="233">
        <v>4623.42</v>
      </c>
      <c r="V39">
        <v>0</v>
      </c>
      <c r="W39">
        <v>4623.42</v>
      </c>
      <c r="X39">
        <v>0</v>
      </c>
      <c r="Y39">
        <v>0</v>
      </c>
    </row>
    <row r="40" spans="1:25" x14ac:dyDescent="0.25">
      <c r="A40" t="s">
        <v>975</v>
      </c>
      <c r="B40" t="s">
        <v>403</v>
      </c>
      <c r="C40" t="s">
        <v>1092</v>
      </c>
      <c r="D40" t="s">
        <v>1090</v>
      </c>
      <c r="E40">
        <v>644100</v>
      </c>
      <c r="F40">
        <v>547485</v>
      </c>
      <c r="G40">
        <v>547485</v>
      </c>
      <c r="H40">
        <v>0</v>
      </c>
      <c r="I40" s="237">
        <v>96615</v>
      </c>
      <c r="J40" s="235">
        <v>0</v>
      </c>
      <c r="K40">
        <v>96615</v>
      </c>
      <c r="L40">
        <v>0</v>
      </c>
      <c r="M40">
        <v>0</v>
      </c>
      <c r="O40">
        <v>198188.36</v>
      </c>
      <c r="P40">
        <v>198188.36</v>
      </c>
      <c r="Q40">
        <v>177098</v>
      </c>
      <c r="R40" s="230">
        <v>177098</v>
      </c>
      <c r="S40" s="232">
        <v>0</v>
      </c>
      <c r="T40">
        <v>0</v>
      </c>
      <c r="U40" s="233">
        <v>5091.51</v>
      </c>
      <c r="V40">
        <v>0</v>
      </c>
      <c r="W40">
        <v>5091.51</v>
      </c>
      <c r="X40">
        <v>0</v>
      </c>
      <c r="Y40">
        <v>0</v>
      </c>
    </row>
    <row r="41" spans="1:25" x14ac:dyDescent="0.25">
      <c r="A41" t="s">
        <v>978</v>
      </c>
      <c r="B41" t="s">
        <v>412</v>
      </c>
      <c r="C41" t="s">
        <v>1098</v>
      </c>
      <c r="D41" t="s">
        <v>1090</v>
      </c>
      <c r="E41">
        <v>170426</v>
      </c>
      <c r="F41">
        <v>144862.1</v>
      </c>
      <c r="G41">
        <v>144862.1</v>
      </c>
      <c r="H41">
        <v>0</v>
      </c>
      <c r="I41" s="237">
        <v>25563.9</v>
      </c>
      <c r="J41" s="235">
        <v>0</v>
      </c>
      <c r="K41">
        <v>25563.9</v>
      </c>
      <c r="L41">
        <v>0</v>
      </c>
      <c r="M41">
        <v>0</v>
      </c>
      <c r="O41">
        <v>86690.67</v>
      </c>
      <c r="P41">
        <v>86690.67</v>
      </c>
      <c r="Q41">
        <v>80205.86</v>
      </c>
      <c r="R41" s="230">
        <v>80205.86</v>
      </c>
      <c r="S41" s="232">
        <v>0</v>
      </c>
      <c r="T41">
        <v>0</v>
      </c>
      <c r="U41" s="233">
        <v>6484.81</v>
      </c>
      <c r="V41">
        <v>0</v>
      </c>
      <c r="W41">
        <v>6484.81</v>
      </c>
      <c r="X41">
        <v>0</v>
      </c>
      <c r="Y41">
        <v>0</v>
      </c>
    </row>
    <row r="42" spans="1:25" x14ac:dyDescent="0.25">
      <c r="A42" t="s">
        <v>981</v>
      </c>
      <c r="B42" t="s">
        <v>1121</v>
      </c>
      <c r="C42" t="s">
        <v>1089</v>
      </c>
      <c r="D42" t="s">
        <v>1090</v>
      </c>
      <c r="E42">
        <v>271859.99</v>
      </c>
      <c r="F42">
        <v>213195.03</v>
      </c>
      <c r="G42">
        <v>213195.03</v>
      </c>
      <c r="H42">
        <v>0</v>
      </c>
      <c r="I42" s="237">
        <v>58664.959999999999</v>
      </c>
      <c r="J42" s="235">
        <v>0</v>
      </c>
      <c r="K42">
        <v>58664.959999999999</v>
      </c>
      <c r="L42">
        <v>0</v>
      </c>
      <c r="M42">
        <v>0</v>
      </c>
      <c r="O42">
        <v>63958.51</v>
      </c>
      <c r="P42">
        <v>63958.51</v>
      </c>
      <c r="Q42">
        <v>63958.51</v>
      </c>
      <c r="R42" s="230">
        <v>63958.51</v>
      </c>
      <c r="S42" s="232">
        <v>0</v>
      </c>
      <c r="T42">
        <v>0</v>
      </c>
      <c r="U42" s="233">
        <v>0</v>
      </c>
      <c r="V42">
        <v>0</v>
      </c>
      <c r="W42">
        <v>0</v>
      </c>
      <c r="X42">
        <v>0</v>
      </c>
      <c r="Y42">
        <v>0</v>
      </c>
    </row>
    <row r="43" spans="1:25" x14ac:dyDescent="0.25">
      <c r="A43" t="s">
        <v>941</v>
      </c>
      <c r="B43" t="s">
        <v>1122</v>
      </c>
      <c r="C43" t="s">
        <v>1098</v>
      </c>
      <c r="D43" t="s">
        <v>880</v>
      </c>
      <c r="E43">
        <v>615073.18999999994</v>
      </c>
      <c r="F43">
        <v>522812.21</v>
      </c>
      <c r="G43">
        <v>522812.21</v>
      </c>
      <c r="H43">
        <v>0</v>
      </c>
      <c r="I43" s="237">
        <v>92260.98</v>
      </c>
      <c r="J43" s="235">
        <v>0</v>
      </c>
      <c r="K43">
        <v>92260.98</v>
      </c>
      <c r="L43">
        <v>0</v>
      </c>
      <c r="M43">
        <v>0</v>
      </c>
      <c r="O43">
        <v>580141.18000000005</v>
      </c>
      <c r="P43">
        <v>580141.18000000005</v>
      </c>
      <c r="Q43">
        <v>493120</v>
      </c>
      <c r="R43" s="230">
        <v>493120</v>
      </c>
      <c r="S43" s="232">
        <v>0</v>
      </c>
      <c r="T43">
        <v>0</v>
      </c>
      <c r="U43" s="233">
        <v>87021.18</v>
      </c>
      <c r="V43">
        <v>0</v>
      </c>
      <c r="W43">
        <v>87021.18</v>
      </c>
      <c r="X43">
        <v>0</v>
      </c>
      <c r="Y43">
        <v>0</v>
      </c>
    </row>
    <row r="44" spans="1:25" x14ac:dyDescent="0.25">
      <c r="A44" t="s">
        <v>943</v>
      </c>
      <c r="B44" t="s">
        <v>1123</v>
      </c>
      <c r="C44" t="s">
        <v>1089</v>
      </c>
      <c r="D44" t="s">
        <v>1090</v>
      </c>
      <c r="E44">
        <v>428573.83</v>
      </c>
      <c r="F44">
        <v>361746.23</v>
      </c>
      <c r="G44">
        <v>361746.23</v>
      </c>
      <c r="H44">
        <v>0</v>
      </c>
      <c r="I44" s="237">
        <v>66827.600000000006</v>
      </c>
      <c r="J44" s="235">
        <v>32143.03</v>
      </c>
      <c r="K44">
        <v>34684.57</v>
      </c>
      <c r="L44">
        <v>0</v>
      </c>
      <c r="M44">
        <v>0</v>
      </c>
      <c r="O44">
        <v>422480.42</v>
      </c>
      <c r="P44">
        <v>422480.42</v>
      </c>
      <c r="Q44">
        <v>356602.97</v>
      </c>
      <c r="R44" s="230">
        <v>356602.97</v>
      </c>
      <c r="S44" s="232">
        <v>0</v>
      </c>
      <c r="T44">
        <v>0</v>
      </c>
      <c r="U44" s="233">
        <v>65877.45</v>
      </c>
      <c r="V44">
        <v>31686.03</v>
      </c>
      <c r="W44">
        <v>34191.42</v>
      </c>
      <c r="X44">
        <v>0</v>
      </c>
      <c r="Y44">
        <v>0</v>
      </c>
    </row>
    <row r="45" spans="1:25" x14ac:dyDescent="0.25">
      <c r="A45" t="s">
        <v>943</v>
      </c>
      <c r="B45" t="s">
        <v>1123</v>
      </c>
      <c r="C45" t="s">
        <v>1089</v>
      </c>
      <c r="D45" t="s">
        <v>1090</v>
      </c>
      <c r="N45" t="s">
        <v>1099</v>
      </c>
      <c r="O45">
        <v>0</v>
      </c>
      <c r="P45">
        <v>0</v>
      </c>
      <c r="Q45">
        <v>0</v>
      </c>
      <c r="R45" s="230">
        <v>0</v>
      </c>
      <c r="S45" s="232">
        <v>0</v>
      </c>
      <c r="T45">
        <v>0</v>
      </c>
      <c r="U45" s="233">
        <v>-4.16</v>
      </c>
      <c r="V45">
        <v>-2</v>
      </c>
      <c r="W45">
        <v>-2.16</v>
      </c>
      <c r="X45">
        <v>0</v>
      </c>
      <c r="Y45">
        <v>0</v>
      </c>
    </row>
    <row r="46" spans="1:25" x14ac:dyDescent="0.25">
      <c r="A46" t="s">
        <v>943</v>
      </c>
      <c r="B46" t="s">
        <v>1123</v>
      </c>
      <c r="C46" t="s">
        <v>1089</v>
      </c>
      <c r="D46" t="s">
        <v>1090</v>
      </c>
      <c r="N46" t="s">
        <v>1099</v>
      </c>
      <c r="O46">
        <v>-26.68</v>
      </c>
      <c r="P46">
        <v>-26.68</v>
      </c>
      <c r="Q46">
        <v>0</v>
      </c>
      <c r="R46" s="230">
        <v>0</v>
      </c>
      <c r="S46" s="232">
        <v>0</v>
      </c>
      <c r="T46">
        <v>0</v>
      </c>
      <c r="U46" s="233">
        <v>0</v>
      </c>
      <c r="V46">
        <v>0</v>
      </c>
      <c r="W46">
        <v>0</v>
      </c>
      <c r="X46">
        <v>0</v>
      </c>
      <c r="Y46">
        <v>0</v>
      </c>
    </row>
    <row r="47" spans="1:25" x14ac:dyDescent="0.25">
      <c r="A47" t="s">
        <v>942</v>
      </c>
      <c r="B47" t="s">
        <v>196</v>
      </c>
      <c r="C47" t="s">
        <v>1092</v>
      </c>
      <c r="D47" t="s">
        <v>1090</v>
      </c>
      <c r="E47">
        <v>629529.59</v>
      </c>
      <c r="F47">
        <v>535100.15</v>
      </c>
      <c r="G47">
        <v>535100.15</v>
      </c>
      <c r="H47">
        <v>0</v>
      </c>
      <c r="I47" s="237">
        <v>94429.440000000002</v>
      </c>
      <c r="J47" s="235">
        <v>47214.720000000001</v>
      </c>
      <c r="K47">
        <v>47214.720000000001</v>
      </c>
      <c r="L47">
        <v>0</v>
      </c>
      <c r="M47">
        <v>0</v>
      </c>
      <c r="O47">
        <v>595255.19999999995</v>
      </c>
      <c r="P47">
        <v>595255.19999999995</v>
      </c>
      <c r="Q47">
        <v>505966.92</v>
      </c>
      <c r="R47" s="230">
        <v>505966.92</v>
      </c>
      <c r="S47" s="232">
        <v>0</v>
      </c>
      <c r="T47">
        <v>0</v>
      </c>
      <c r="U47" s="233">
        <v>87839.14</v>
      </c>
      <c r="V47">
        <v>43919.56</v>
      </c>
      <c r="W47">
        <v>43919.58</v>
      </c>
      <c r="X47">
        <v>0</v>
      </c>
      <c r="Y47">
        <v>0</v>
      </c>
    </row>
    <row r="48" spans="1:25" x14ac:dyDescent="0.25">
      <c r="A48" t="s">
        <v>945</v>
      </c>
      <c r="B48" t="s">
        <v>207</v>
      </c>
      <c r="C48" t="s">
        <v>1097</v>
      </c>
      <c r="D48" t="s">
        <v>1090</v>
      </c>
      <c r="E48">
        <v>855376.31</v>
      </c>
      <c r="F48">
        <v>657999.93000000005</v>
      </c>
      <c r="G48">
        <v>657999.93000000005</v>
      </c>
      <c r="H48">
        <v>0</v>
      </c>
      <c r="I48" s="237">
        <v>197376.38</v>
      </c>
      <c r="J48" s="235">
        <v>64153.22</v>
      </c>
      <c r="K48">
        <v>133223.16</v>
      </c>
      <c r="L48">
        <v>0</v>
      </c>
      <c r="M48">
        <v>0</v>
      </c>
      <c r="O48">
        <v>582132.35</v>
      </c>
      <c r="P48">
        <v>582132.35</v>
      </c>
      <c r="Q48">
        <v>493356.13</v>
      </c>
      <c r="R48" s="230">
        <v>493356.13</v>
      </c>
      <c r="S48" s="232">
        <v>0</v>
      </c>
      <c r="T48">
        <v>0</v>
      </c>
      <c r="U48" s="233">
        <v>88776.22</v>
      </c>
      <c r="V48">
        <v>28854.93</v>
      </c>
      <c r="W48">
        <v>59921.29</v>
      </c>
      <c r="X48">
        <v>0</v>
      </c>
      <c r="Y48">
        <v>0</v>
      </c>
    </row>
    <row r="49" spans="1:25" x14ac:dyDescent="0.25">
      <c r="A49" t="s">
        <v>940</v>
      </c>
      <c r="B49" t="s">
        <v>179</v>
      </c>
      <c r="C49" t="s">
        <v>1102</v>
      </c>
      <c r="D49" t="s">
        <v>1090</v>
      </c>
      <c r="E49">
        <v>338553.02</v>
      </c>
      <c r="F49">
        <v>287770.06</v>
      </c>
      <c r="G49">
        <v>287770.06</v>
      </c>
      <c r="H49">
        <v>0</v>
      </c>
      <c r="I49" s="237">
        <v>50782.96</v>
      </c>
      <c r="J49" s="235">
        <v>25391.47</v>
      </c>
      <c r="K49">
        <v>25391.49</v>
      </c>
      <c r="L49">
        <v>0</v>
      </c>
      <c r="M49">
        <v>0</v>
      </c>
      <c r="O49">
        <v>46296.49</v>
      </c>
      <c r="P49">
        <v>46296.49</v>
      </c>
      <c r="Q49">
        <v>39352.019999999997</v>
      </c>
      <c r="R49" s="230">
        <v>39352.019999999997</v>
      </c>
      <c r="S49" s="232">
        <v>0</v>
      </c>
      <c r="T49">
        <v>0</v>
      </c>
      <c r="U49" s="233">
        <v>1280.49</v>
      </c>
      <c r="V49">
        <v>640.24</v>
      </c>
      <c r="W49">
        <v>640.25</v>
      </c>
      <c r="X49">
        <v>0</v>
      </c>
      <c r="Y49">
        <v>0</v>
      </c>
    </row>
    <row r="50" spans="1:25" x14ac:dyDescent="0.25">
      <c r="A50" t="s">
        <v>928</v>
      </c>
      <c r="B50" t="s">
        <v>1124</v>
      </c>
      <c r="C50" t="s">
        <v>1089</v>
      </c>
      <c r="D50" t="s">
        <v>880</v>
      </c>
      <c r="E50">
        <v>985873.28</v>
      </c>
      <c r="F50">
        <v>550278</v>
      </c>
      <c r="G50">
        <v>492354</v>
      </c>
      <c r="H50">
        <v>57924</v>
      </c>
      <c r="I50" s="237">
        <v>435595.28</v>
      </c>
      <c r="J50" s="235">
        <v>0</v>
      </c>
      <c r="K50">
        <v>435595.28</v>
      </c>
      <c r="L50">
        <v>0</v>
      </c>
      <c r="M50">
        <v>0</v>
      </c>
      <c r="O50">
        <v>1146502.3799999999</v>
      </c>
      <c r="P50">
        <v>1146502.3799999999</v>
      </c>
      <c r="Q50">
        <v>550216.61</v>
      </c>
      <c r="R50" s="230">
        <v>492299.07</v>
      </c>
      <c r="S50" s="232">
        <v>57917.54</v>
      </c>
      <c r="T50">
        <v>57917.54</v>
      </c>
      <c r="U50" s="233">
        <v>435546.67</v>
      </c>
      <c r="V50">
        <v>0</v>
      </c>
      <c r="W50">
        <v>435546.67</v>
      </c>
      <c r="X50">
        <v>0</v>
      </c>
      <c r="Y50">
        <v>0</v>
      </c>
    </row>
    <row r="51" spans="1:25" x14ac:dyDescent="0.25">
      <c r="A51" t="s">
        <v>928</v>
      </c>
      <c r="B51" t="s">
        <v>1124</v>
      </c>
      <c r="C51" t="s">
        <v>1089</v>
      </c>
      <c r="D51" t="s">
        <v>880</v>
      </c>
      <c r="N51" t="s">
        <v>1099</v>
      </c>
      <c r="O51">
        <v>0</v>
      </c>
      <c r="P51">
        <v>0</v>
      </c>
      <c r="Q51">
        <v>0</v>
      </c>
      <c r="R51" s="230">
        <v>0</v>
      </c>
      <c r="S51" s="232">
        <v>0</v>
      </c>
      <c r="T51">
        <v>0</v>
      </c>
      <c r="U51" s="233">
        <v>-14470.93</v>
      </c>
      <c r="V51">
        <v>0</v>
      </c>
      <c r="W51">
        <v>-14470.93</v>
      </c>
      <c r="X51">
        <v>0</v>
      </c>
      <c r="Y51">
        <v>0</v>
      </c>
    </row>
    <row r="52" spans="1:25" x14ac:dyDescent="0.25">
      <c r="A52" t="s">
        <v>928</v>
      </c>
      <c r="B52" t="s">
        <v>1124</v>
      </c>
      <c r="C52" t="s">
        <v>1089</v>
      </c>
      <c r="D52" t="s">
        <v>880</v>
      </c>
      <c r="N52" t="s">
        <v>1099</v>
      </c>
      <c r="O52">
        <v>-14470.93</v>
      </c>
      <c r="P52">
        <v>-14470.93</v>
      </c>
      <c r="Q52">
        <v>0</v>
      </c>
      <c r="R52" s="230">
        <v>0</v>
      </c>
      <c r="S52" s="232">
        <v>0</v>
      </c>
      <c r="T52">
        <v>0</v>
      </c>
      <c r="U52" s="233">
        <v>0</v>
      </c>
      <c r="V52">
        <v>0</v>
      </c>
      <c r="W52">
        <v>0</v>
      </c>
      <c r="X52">
        <v>0</v>
      </c>
      <c r="Y52">
        <v>0</v>
      </c>
    </row>
    <row r="53" spans="1:25" x14ac:dyDescent="0.25">
      <c r="A53" t="s">
        <v>933</v>
      </c>
      <c r="B53" t="s">
        <v>1125</v>
      </c>
      <c r="C53" t="s">
        <v>1089</v>
      </c>
      <c r="D53" t="s">
        <v>1090</v>
      </c>
      <c r="E53">
        <v>948634.58</v>
      </c>
      <c r="F53">
        <v>870588</v>
      </c>
      <c r="G53">
        <v>799999.78</v>
      </c>
      <c r="H53">
        <v>70588.22</v>
      </c>
      <c r="I53" s="237">
        <v>78046.58</v>
      </c>
      <c r="J53" s="235">
        <v>0</v>
      </c>
      <c r="K53">
        <v>78046.58</v>
      </c>
      <c r="L53">
        <v>0</v>
      </c>
      <c r="M53">
        <v>0</v>
      </c>
      <c r="O53">
        <v>1127088.1399999999</v>
      </c>
      <c r="P53">
        <v>1127088.1399999999</v>
      </c>
      <c r="Q53">
        <v>868089.17</v>
      </c>
      <c r="R53" s="230">
        <v>797703.56</v>
      </c>
      <c r="S53" s="232">
        <v>70385.61</v>
      </c>
      <c r="T53">
        <v>70385.61</v>
      </c>
      <c r="U53" s="233">
        <v>77822.570000000007</v>
      </c>
      <c r="V53">
        <v>0</v>
      </c>
      <c r="W53">
        <v>77822.570000000007</v>
      </c>
      <c r="X53">
        <v>0</v>
      </c>
      <c r="Y53">
        <v>0</v>
      </c>
    </row>
    <row r="54" spans="1:25" x14ac:dyDescent="0.25">
      <c r="A54" t="s">
        <v>933</v>
      </c>
      <c r="B54" t="s">
        <v>1125</v>
      </c>
      <c r="C54" t="s">
        <v>1089</v>
      </c>
      <c r="D54" t="s">
        <v>1090</v>
      </c>
      <c r="N54" t="s">
        <v>1099</v>
      </c>
      <c r="O54">
        <v>0</v>
      </c>
      <c r="P54">
        <v>0</v>
      </c>
      <c r="Q54">
        <v>0</v>
      </c>
      <c r="R54" s="230">
        <v>0</v>
      </c>
      <c r="S54" s="232">
        <v>0</v>
      </c>
      <c r="T54">
        <v>-178.55</v>
      </c>
      <c r="U54" s="233">
        <v>-403.21</v>
      </c>
      <c r="V54">
        <v>0</v>
      </c>
      <c r="W54">
        <v>-403.21</v>
      </c>
      <c r="X54">
        <v>0</v>
      </c>
      <c r="Y54">
        <v>0</v>
      </c>
    </row>
    <row r="55" spans="1:25" x14ac:dyDescent="0.25">
      <c r="A55" t="s">
        <v>933</v>
      </c>
      <c r="B55" t="s">
        <v>1125</v>
      </c>
      <c r="C55" t="s">
        <v>1089</v>
      </c>
      <c r="D55" t="s">
        <v>1090</v>
      </c>
      <c r="N55" t="s">
        <v>1099</v>
      </c>
      <c r="O55">
        <v>-2605.37</v>
      </c>
      <c r="P55">
        <v>-2605.37</v>
      </c>
      <c r="Q55">
        <v>0</v>
      </c>
      <c r="R55" s="230">
        <v>0</v>
      </c>
      <c r="S55" s="232">
        <v>0</v>
      </c>
      <c r="T55">
        <v>0</v>
      </c>
      <c r="U55" s="233">
        <v>0</v>
      </c>
      <c r="V55">
        <v>0</v>
      </c>
      <c r="W55">
        <v>0</v>
      </c>
      <c r="X55">
        <v>0</v>
      </c>
      <c r="Y55">
        <v>0</v>
      </c>
    </row>
    <row r="56" spans="1:25" x14ac:dyDescent="0.25">
      <c r="A56" t="s">
        <v>933</v>
      </c>
      <c r="B56" t="s">
        <v>1125</v>
      </c>
      <c r="C56" t="s">
        <v>1089</v>
      </c>
      <c r="D56" t="s">
        <v>1090</v>
      </c>
      <c r="N56" t="s">
        <v>1099</v>
      </c>
      <c r="O56">
        <v>0</v>
      </c>
      <c r="P56">
        <v>0</v>
      </c>
      <c r="Q56">
        <v>0</v>
      </c>
      <c r="R56" s="230">
        <v>0</v>
      </c>
      <c r="S56" s="232">
        <v>0</v>
      </c>
      <c r="T56">
        <v>0</v>
      </c>
      <c r="U56" s="233">
        <v>-68567.759999999995</v>
      </c>
      <c r="V56">
        <v>0</v>
      </c>
      <c r="W56">
        <v>-68567.759999999995</v>
      </c>
      <c r="X56">
        <v>0</v>
      </c>
      <c r="Y56">
        <v>0</v>
      </c>
    </row>
    <row r="57" spans="1:25" x14ac:dyDescent="0.25">
      <c r="A57" t="s">
        <v>933</v>
      </c>
      <c r="B57" t="s">
        <v>1125</v>
      </c>
      <c r="C57" t="s">
        <v>1089</v>
      </c>
      <c r="D57" t="s">
        <v>1090</v>
      </c>
      <c r="N57" t="s">
        <v>1099</v>
      </c>
      <c r="O57">
        <v>-68567.759999999995</v>
      </c>
      <c r="P57">
        <v>-68567.759999999995</v>
      </c>
      <c r="Q57">
        <v>0</v>
      </c>
      <c r="R57" s="230">
        <v>0</v>
      </c>
      <c r="S57" s="232">
        <v>0</v>
      </c>
      <c r="T57">
        <v>0</v>
      </c>
      <c r="U57" s="233">
        <v>0</v>
      </c>
      <c r="V57">
        <v>0</v>
      </c>
      <c r="W57">
        <v>0</v>
      </c>
      <c r="X57">
        <v>0</v>
      </c>
      <c r="Y57">
        <v>0</v>
      </c>
    </row>
    <row r="58" spans="1:25" x14ac:dyDescent="0.25">
      <c r="A58" t="s">
        <v>927</v>
      </c>
      <c r="B58" t="s">
        <v>1126</v>
      </c>
      <c r="C58" t="s">
        <v>1098</v>
      </c>
      <c r="D58" t="s">
        <v>880</v>
      </c>
      <c r="E58">
        <v>672604.19</v>
      </c>
      <c r="F58">
        <v>622158.87</v>
      </c>
      <c r="G58">
        <v>571713.55000000005</v>
      </c>
      <c r="H58">
        <v>50445.32</v>
      </c>
      <c r="I58" s="237">
        <v>50445.32</v>
      </c>
      <c r="J58" s="235">
        <v>0</v>
      </c>
      <c r="K58">
        <v>50445.32</v>
      </c>
      <c r="L58">
        <v>0</v>
      </c>
      <c r="M58">
        <v>0</v>
      </c>
      <c r="O58">
        <v>947440.92</v>
      </c>
      <c r="P58">
        <v>947440.92</v>
      </c>
      <c r="Q58">
        <v>617382.84</v>
      </c>
      <c r="R58" s="230">
        <v>567324.77</v>
      </c>
      <c r="S58" s="232">
        <v>50058.07</v>
      </c>
      <c r="T58">
        <v>50058.07</v>
      </c>
      <c r="U58" s="233">
        <v>50058.080000000002</v>
      </c>
      <c r="V58">
        <v>0</v>
      </c>
      <c r="W58">
        <v>50058.080000000002</v>
      </c>
      <c r="X58">
        <v>0</v>
      </c>
      <c r="Y58">
        <v>0</v>
      </c>
    </row>
    <row r="59" spans="1:25" x14ac:dyDescent="0.25">
      <c r="A59" t="s">
        <v>926</v>
      </c>
      <c r="B59" t="s">
        <v>1127</v>
      </c>
      <c r="C59" t="s">
        <v>1098</v>
      </c>
      <c r="D59" t="s">
        <v>1090</v>
      </c>
      <c r="E59">
        <v>1142603.75</v>
      </c>
      <c r="F59">
        <v>958999</v>
      </c>
      <c r="G59">
        <v>881242</v>
      </c>
      <c r="H59">
        <v>77757</v>
      </c>
      <c r="I59" s="237">
        <v>183604.75</v>
      </c>
      <c r="J59" s="235">
        <v>0</v>
      </c>
      <c r="K59">
        <v>183604.75</v>
      </c>
      <c r="L59">
        <v>0</v>
      </c>
      <c r="M59">
        <v>0</v>
      </c>
      <c r="O59">
        <v>785522.73</v>
      </c>
      <c r="P59">
        <v>785522.73</v>
      </c>
      <c r="Q59">
        <v>625527.65</v>
      </c>
      <c r="R59" s="230">
        <v>574808.98</v>
      </c>
      <c r="S59" s="232">
        <v>50718.67</v>
      </c>
      <c r="T59">
        <v>33878.080000000002</v>
      </c>
      <c r="U59" s="233">
        <v>79995.08</v>
      </c>
      <c r="V59">
        <v>0</v>
      </c>
      <c r="W59">
        <v>79995.08</v>
      </c>
      <c r="X59">
        <v>0</v>
      </c>
      <c r="Y59">
        <v>0</v>
      </c>
    </row>
    <row r="60" spans="1:25" x14ac:dyDescent="0.25">
      <c r="A60" t="s">
        <v>935</v>
      </c>
      <c r="B60" t="s">
        <v>1128</v>
      </c>
      <c r="C60" t="s">
        <v>1092</v>
      </c>
      <c r="D60" t="s">
        <v>1090</v>
      </c>
      <c r="E60">
        <v>518360.92</v>
      </c>
      <c r="F60">
        <v>479483.85</v>
      </c>
      <c r="G60">
        <v>440606.78</v>
      </c>
      <c r="H60">
        <v>38877.07</v>
      </c>
      <c r="I60" s="237">
        <v>38877.07</v>
      </c>
      <c r="J60" s="235">
        <v>0</v>
      </c>
      <c r="K60">
        <v>38877.07</v>
      </c>
      <c r="L60">
        <v>0</v>
      </c>
      <c r="M60">
        <v>0</v>
      </c>
      <c r="O60">
        <v>502467.76</v>
      </c>
      <c r="P60">
        <v>502467.76</v>
      </c>
      <c r="Q60">
        <v>421857.67</v>
      </c>
      <c r="R60" s="230">
        <v>387653</v>
      </c>
      <c r="S60" s="232">
        <v>34204.67</v>
      </c>
      <c r="T60">
        <v>31610.080000000002</v>
      </c>
      <c r="U60" s="233">
        <v>31610.09</v>
      </c>
      <c r="V60">
        <v>0</v>
      </c>
      <c r="W60">
        <v>31610.09</v>
      </c>
      <c r="X60">
        <v>0</v>
      </c>
      <c r="Y60">
        <v>0</v>
      </c>
    </row>
    <row r="61" spans="1:25" x14ac:dyDescent="0.25">
      <c r="A61" t="s">
        <v>932</v>
      </c>
      <c r="B61" t="s">
        <v>1129</v>
      </c>
      <c r="C61" t="s">
        <v>1092</v>
      </c>
      <c r="D61" t="s">
        <v>1090</v>
      </c>
      <c r="E61">
        <v>1365071.92</v>
      </c>
      <c r="F61">
        <v>941867</v>
      </c>
      <c r="G61">
        <v>865499.4</v>
      </c>
      <c r="H61">
        <v>76367.600000000006</v>
      </c>
      <c r="I61" s="237">
        <v>423204.92</v>
      </c>
      <c r="J61" s="235">
        <v>0</v>
      </c>
      <c r="K61">
        <v>423204.92</v>
      </c>
      <c r="L61">
        <v>0</v>
      </c>
      <c r="M61">
        <v>0</v>
      </c>
      <c r="O61">
        <v>41617.379999999997</v>
      </c>
      <c r="P61">
        <v>41617.379999999997</v>
      </c>
      <c r="Q61">
        <v>34915.480000000003</v>
      </c>
      <c r="R61" s="230">
        <v>32084.49</v>
      </c>
      <c r="S61" s="232">
        <v>2830.99</v>
      </c>
      <c r="T61">
        <v>1209.3699999999999</v>
      </c>
      <c r="U61" s="233">
        <v>6701.9</v>
      </c>
      <c r="V61">
        <v>0</v>
      </c>
      <c r="W61">
        <v>6701.9</v>
      </c>
      <c r="X61">
        <v>0</v>
      </c>
      <c r="Y61">
        <v>0</v>
      </c>
    </row>
    <row r="62" spans="1:25" x14ac:dyDescent="0.25">
      <c r="A62" t="s">
        <v>930</v>
      </c>
      <c r="B62" t="s">
        <v>1130</v>
      </c>
      <c r="C62" t="s">
        <v>1092</v>
      </c>
      <c r="D62" t="s">
        <v>1090</v>
      </c>
      <c r="E62">
        <v>645806.42000000004</v>
      </c>
      <c r="F62">
        <v>580769</v>
      </c>
      <c r="G62">
        <v>533679.62</v>
      </c>
      <c r="H62">
        <v>47089.38</v>
      </c>
      <c r="I62" s="237">
        <v>65037.42</v>
      </c>
      <c r="J62" s="235">
        <v>0</v>
      </c>
      <c r="K62">
        <v>65037.42</v>
      </c>
      <c r="L62">
        <v>0</v>
      </c>
      <c r="M62">
        <v>0</v>
      </c>
      <c r="O62">
        <v>189037.9</v>
      </c>
      <c r="P62">
        <v>189037.9</v>
      </c>
      <c r="Q62">
        <v>187120.64000000001</v>
      </c>
      <c r="R62" s="230">
        <v>171948.7</v>
      </c>
      <c r="S62" s="232">
        <v>15171.94</v>
      </c>
      <c r="T62">
        <v>1388.16</v>
      </c>
      <c r="U62" s="233">
        <v>1917.26</v>
      </c>
      <c r="V62">
        <v>0</v>
      </c>
      <c r="W62">
        <v>1917.26</v>
      </c>
      <c r="X62">
        <v>0</v>
      </c>
      <c r="Y62">
        <v>0</v>
      </c>
    </row>
    <row r="63" spans="1:25" x14ac:dyDescent="0.25">
      <c r="A63" t="s">
        <v>931</v>
      </c>
      <c r="B63" t="s">
        <v>1131</v>
      </c>
      <c r="C63" t="s">
        <v>1089</v>
      </c>
      <c r="D63" t="s">
        <v>1090</v>
      </c>
      <c r="E63">
        <v>1137262.6599999999</v>
      </c>
      <c r="F63">
        <v>761765</v>
      </c>
      <c r="G63">
        <v>700000</v>
      </c>
      <c r="H63">
        <v>61765</v>
      </c>
      <c r="I63" s="237">
        <v>375497.66</v>
      </c>
      <c r="J63" s="235">
        <v>0</v>
      </c>
      <c r="K63">
        <v>375497.66</v>
      </c>
      <c r="L63">
        <v>0</v>
      </c>
      <c r="M63">
        <v>0</v>
      </c>
      <c r="O63">
        <v>242061.5</v>
      </c>
      <c r="P63">
        <v>242061.5</v>
      </c>
      <c r="Q63">
        <v>237593.55</v>
      </c>
      <c r="R63" s="230">
        <v>218329.12</v>
      </c>
      <c r="S63" s="232">
        <v>19264.43</v>
      </c>
      <c r="T63">
        <v>734.93</v>
      </c>
      <c r="U63" s="233">
        <v>4467.95</v>
      </c>
      <c r="V63">
        <v>0</v>
      </c>
      <c r="W63">
        <v>4467.95</v>
      </c>
      <c r="X63">
        <v>0</v>
      </c>
      <c r="Y63">
        <v>0</v>
      </c>
    </row>
    <row r="64" spans="1:25" x14ac:dyDescent="0.25">
      <c r="A64" t="s">
        <v>934</v>
      </c>
      <c r="B64" t="s">
        <v>1132</v>
      </c>
      <c r="C64" t="s">
        <v>1089</v>
      </c>
      <c r="D64" t="s">
        <v>1090</v>
      </c>
      <c r="E64">
        <v>530184.80000000005</v>
      </c>
      <c r="F64">
        <v>352265</v>
      </c>
      <c r="G64">
        <v>323702.96999999997</v>
      </c>
      <c r="H64">
        <v>28562.03</v>
      </c>
      <c r="I64" s="237">
        <v>177919.8</v>
      </c>
      <c r="J64" s="235">
        <v>0</v>
      </c>
      <c r="K64">
        <v>177919.8</v>
      </c>
      <c r="L64">
        <v>0</v>
      </c>
      <c r="M64">
        <v>0</v>
      </c>
      <c r="O64">
        <v>10732.98</v>
      </c>
      <c r="P64">
        <v>10732.98</v>
      </c>
      <c r="Q64">
        <v>7131.2</v>
      </c>
      <c r="R64" s="230">
        <v>6552.99</v>
      </c>
      <c r="S64" s="232">
        <v>578.21</v>
      </c>
      <c r="T64">
        <v>578.21</v>
      </c>
      <c r="U64" s="233">
        <v>3601.78</v>
      </c>
      <c r="V64">
        <v>0</v>
      </c>
      <c r="W64">
        <v>3601.78</v>
      </c>
      <c r="X64">
        <v>0</v>
      </c>
      <c r="Y64">
        <v>0</v>
      </c>
    </row>
    <row r="65" spans="1:25" x14ac:dyDescent="0.25">
      <c r="A65" t="s">
        <v>936</v>
      </c>
      <c r="B65" t="s">
        <v>1133</v>
      </c>
      <c r="C65" t="s">
        <v>1102</v>
      </c>
      <c r="D65" t="s">
        <v>880</v>
      </c>
      <c r="E65">
        <v>280999.21000000002</v>
      </c>
      <c r="F65">
        <v>259924.26</v>
      </c>
      <c r="G65">
        <v>238849.32</v>
      </c>
      <c r="H65">
        <v>21074.94</v>
      </c>
      <c r="I65" s="237">
        <v>21074.95</v>
      </c>
      <c r="J65" s="235">
        <v>0</v>
      </c>
      <c r="K65">
        <v>21074.95</v>
      </c>
      <c r="L65">
        <v>0</v>
      </c>
      <c r="M65">
        <v>0</v>
      </c>
      <c r="O65">
        <v>358976.49</v>
      </c>
      <c r="P65">
        <v>358976.49</v>
      </c>
      <c r="Q65">
        <v>259924.26</v>
      </c>
      <c r="R65" s="230">
        <v>238849.32</v>
      </c>
      <c r="S65" s="232">
        <v>21074.94</v>
      </c>
      <c r="T65">
        <v>21074.94</v>
      </c>
      <c r="U65" s="233">
        <v>21074.95</v>
      </c>
      <c r="V65">
        <v>0</v>
      </c>
      <c r="W65">
        <v>21074.95</v>
      </c>
      <c r="X65">
        <v>0</v>
      </c>
      <c r="Y65">
        <v>0</v>
      </c>
    </row>
    <row r="66" spans="1:25" x14ac:dyDescent="0.25">
      <c r="A66" t="s">
        <v>1017</v>
      </c>
      <c r="B66" t="s">
        <v>1134</v>
      </c>
      <c r="C66" t="s">
        <v>1102</v>
      </c>
      <c r="D66" t="s">
        <v>880</v>
      </c>
      <c r="E66">
        <v>70588</v>
      </c>
      <c r="F66">
        <v>59999.8</v>
      </c>
      <c r="G66">
        <v>59999.8</v>
      </c>
      <c r="H66">
        <v>0</v>
      </c>
      <c r="I66" s="237">
        <v>10588.2</v>
      </c>
      <c r="J66" s="235">
        <v>0</v>
      </c>
      <c r="K66">
        <v>10588.2</v>
      </c>
      <c r="L66">
        <v>0</v>
      </c>
      <c r="M66">
        <v>0</v>
      </c>
      <c r="O66">
        <v>76366</v>
      </c>
      <c r="P66">
        <v>76366</v>
      </c>
      <c r="Q66">
        <v>59999.8</v>
      </c>
      <c r="R66" s="230">
        <v>59999.8</v>
      </c>
      <c r="S66" s="232">
        <v>0</v>
      </c>
      <c r="T66">
        <v>0</v>
      </c>
      <c r="U66" s="233">
        <v>10588.2</v>
      </c>
      <c r="V66">
        <v>0</v>
      </c>
      <c r="W66">
        <v>10588.2</v>
      </c>
      <c r="X66">
        <v>0</v>
      </c>
      <c r="Y66">
        <v>0</v>
      </c>
    </row>
    <row r="67" spans="1:25" x14ac:dyDescent="0.25">
      <c r="A67" t="s">
        <v>1019</v>
      </c>
      <c r="B67" t="s">
        <v>646</v>
      </c>
      <c r="C67" t="s">
        <v>1089</v>
      </c>
      <c r="D67" t="s">
        <v>880</v>
      </c>
      <c r="E67">
        <v>263922.88</v>
      </c>
      <c r="F67">
        <v>224334.44</v>
      </c>
      <c r="G67">
        <v>224334.44</v>
      </c>
      <c r="H67">
        <v>0</v>
      </c>
      <c r="I67" s="237">
        <v>39588.44</v>
      </c>
      <c r="J67" s="235">
        <v>0</v>
      </c>
      <c r="K67">
        <v>39588.44</v>
      </c>
      <c r="L67">
        <v>0</v>
      </c>
      <c r="M67">
        <v>0</v>
      </c>
      <c r="O67">
        <v>600139.01</v>
      </c>
      <c r="P67">
        <v>600139.01</v>
      </c>
      <c r="Q67">
        <v>224334.44</v>
      </c>
      <c r="R67" s="230">
        <v>224334.44</v>
      </c>
      <c r="S67" s="232">
        <v>0</v>
      </c>
      <c r="T67">
        <v>0</v>
      </c>
      <c r="U67" s="233">
        <v>39588.44</v>
      </c>
      <c r="V67">
        <v>0</v>
      </c>
      <c r="W67">
        <v>39588.44</v>
      </c>
      <c r="X67">
        <v>0</v>
      </c>
      <c r="Y67">
        <v>0</v>
      </c>
    </row>
    <row r="68" spans="1:25" x14ac:dyDescent="0.25">
      <c r="A68" t="s">
        <v>1019</v>
      </c>
      <c r="B68" t="s">
        <v>646</v>
      </c>
      <c r="C68" t="s">
        <v>1089</v>
      </c>
      <c r="D68" t="s">
        <v>880</v>
      </c>
      <c r="N68" t="s">
        <v>1135</v>
      </c>
      <c r="O68">
        <v>0</v>
      </c>
      <c r="P68">
        <v>0</v>
      </c>
      <c r="Q68">
        <v>0</v>
      </c>
      <c r="R68" s="230">
        <v>0</v>
      </c>
      <c r="S68" s="232">
        <v>0</v>
      </c>
      <c r="T68">
        <v>0</v>
      </c>
      <c r="U68" s="233">
        <v>-50782.78</v>
      </c>
      <c r="V68">
        <v>0</v>
      </c>
      <c r="W68">
        <v>-50782.78</v>
      </c>
      <c r="X68">
        <v>0</v>
      </c>
      <c r="Y68">
        <v>0</v>
      </c>
    </row>
    <row r="69" spans="1:25" x14ac:dyDescent="0.25">
      <c r="A69" t="s">
        <v>1019</v>
      </c>
      <c r="B69" t="s">
        <v>646</v>
      </c>
      <c r="C69" t="s">
        <v>1089</v>
      </c>
      <c r="D69" t="s">
        <v>880</v>
      </c>
      <c r="N69" t="s">
        <v>1135</v>
      </c>
      <c r="O69">
        <v>0</v>
      </c>
      <c r="P69">
        <v>0</v>
      </c>
      <c r="Q69">
        <v>0</v>
      </c>
      <c r="R69" s="230">
        <v>0</v>
      </c>
      <c r="S69" s="232">
        <v>0</v>
      </c>
      <c r="T69">
        <v>0</v>
      </c>
      <c r="U69" s="233">
        <v>0</v>
      </c>
      <c r="V69">
        <v>0</v>
      </c>
      <c r="W69">
        <v>0</v>
      </c>
      <c r="X69">
        <v>0</v>
      </c>
      <c r="Y69">
        <v>0</v>
      </c>
    </row>
    <row r="70" spans="1:25" x14ac:dyDescent="0.25">
      <c r="A70" t="s">
        <v>1018</v>
      </c>
      <c r="B70" t="s">
        <v>642</v>
      </c>
      <c r="C70" t="s">
        <v>1092</v>
      </c>
      <c r="D70" t="s">
        <v>1090</v>
      </c>
      <c r="E70">
        <v>589242.18000000005</v>
      </c>
      <c r="F70">
        <v>420000</v>
      </c>
      <c r="G70">
        <v>420000</v>
      </c>
      <c r="H70">
        <v>0</v>
      </c>
      <c r="I70" s="237">
        <v>169242.18</v>
      </c>
      <c r="J70" s="235">
        <v>0</v>
      </c>
      <c r="K70">
        <v>148249.18</v>
      </c>
      <c r="L70">
        <v>20993</v>
      </c>
      <c r="M70">
        <v>0</v>
      </c>
      <c r="O70">
        <v>454424.28</v>
      </c>
      <c r="P70">
        <v>454424.28</v>
      </c>
      <c r="Q70">
        <v>360094.24</v>
      </c>
      <c r="R70" s="230">
        <v>360094.24</v>
      </c>
      <c r="S70" s="232">
        <v>0</v>
      </c>
      <c r="T70">
        <v>0</v>
      </c>
      <c r="U70" s="233">
        <v>94330.04</v>
      </c>
      <c r="V70">
        <v>0</v>
      </c>
      <c r="W70">
        <v>82629.23</v>
      </c>
      <c r="X70">
        <v>11700.81</v>
      </c>
      <c r="Y70">
        <v>0</v>
      </c>
    </row>
    <row r="71" spans="1:25" x14ac:dyDescent="0.25">
      <c r="A71" t="s">
        <v>1020</v>
      </c>
      <c r="B71" t="s">
        <v>1136</v>
      </c>
      <c r="C71" t="s">
        <v>1137</v>
      </c>
      <c r="D71" t="s">
        <v>1090</v>
      </c>
      <c r="E71">
        <v>797588.28</v>
      </c>
      <c r="F71">
        <v>636853.67000000004</v>
      </c>
      <c r="G71">
        <v>636853.67000000004</v>
      </c>
      <c r="H71">
        <v>0</v>
      </c>
      <c r="I71" s="237">
        <v>160734.60999999999</v>
      </c>
      <c r="J71" s="235">
        <v>0</v>
      </c>
      <c r="K71">
        <v>160734.60999999999</v>
      </c>
      <c r="L71">
        <v>0</v>
      </c>
      <c r="M71">
        <v>0</v>
      </c>
      <c r="O71">
        <v>578357.26</v>
      </c>
      <c r="P71">
        <v>578357.26</v>
      </c>
      <c r="Q71">
        <v>492032.22</v>
      </c>
      <c r="R71" s="230">
        <v>492032.22</v>
      </c>
      <c r="S71" s="232">
        <v>0</v>
      </c>
      <c r="T71">
        <v>0</v>
      </c>
      <c r="U71" s="233">
        <v>86325.04</v>
      </c>
      <c r="V71">
        <v>0</v>
      </c>
      <c r="W71">
        <v>86325.04</v>
      </c>
      <c r="X71">
        <v>0</v>
      </c>
      <c r="Y71">
        <v>0</v>
      </c>
    </row>
    <row r="72" spans="1:25" x14ac:dyDescent="0.25">
      <c r="A72" t="s">
        <v>1021</v>
      </c>
      <c r="B72" t="s">
        <v>653</v>
      </c>
      <c r="C72" t="s">
        <v>1138</v>
      </c>
      <c r="D72" t="s">
        <v>1090</v>
      </c>
      <c r="E72">
        <v>4000000</v>
      </c>
      <c r="F72">
        <v>3400000</v>
      </c>
      <c r="G72">
        <v>3400000</v>
      </c>
      <c r="H72">
        <v>0</v>
      </c>
      <c r="I72" s="237">
        <v>600000</v>
      </c>
      <c r="J72" s="235">
        <v>600000</v>
      </c>
      <c r="K72">
        <v>0</v>
      </c>
      <c r="L72">
        <v>0</v>
      </c>
      <c r="M72">
        <v>0</v>
      </c>
      <c r="O72">
        <v>1454296.68</v>
      </c>
      <c r="P72">
        <v>1454296.68</v>
      </c>
      <c r="Q72">
        <v>1294748.0900000001</v>
      </c>
      <c r="R72" s="230">
        <v>1294748.0900000001</v>
      </c>
      <c r="S72" s="232">
        <v>0</v>
      </c>
      <c r="T72">
        <v>0</v>
      </c>
      <c r="U72" s="233">
        <v>159548.59</v>
      </c>
      <c r="V72">
        <v>159548.59</v>
      </c>
      <c r="W72">
        <v>0</v>
      </c>
      <c r="X72">
        <v>0</v>
      </c>
      <c r="Y72">
        <v>0</v>
      </c>
    </row>
    <row r="73" spans="1:25" x14ac:dyDescent="0.25">
      <c r="A73" t="s">
        <v>1022</v>
      </c>
      <c r="B73" t="s">
        <v>658</v>
      </c>
      <c r="C73" t="s">
        <v>1139</v>
      </c>
      <c r="D73" t="s">
        <v>1090</v>
      </c>
      <c r="E73">
        <v>30195</v>
      </c>
      <c r="F73">
        <v>25665</v>
      </c>
      <c r="G73">
        <v>25665</v>
      </c>
      <c r="H73">
        <v>0</v>
      </c>
      <c r="I73" s="237">
        <v>4530</v>
      </c>
      <c r="J73" s="235">
        <v>0</v>
      </c>
      <c r="K73">
        <v>4530</v>
      </c>
      <c r="L73">
        <v>0</v>
      </c>
      <c r="M73">
        <v>0</v>
      </c>
      <c r="O73">
        <v>20069.400000000001</v>
      </c>
      <c r="P73">
        <v>20069.400000000001</v>
      </c>
      <c r="Q73">
        <v>17058.490000000002</v>
      </c>
      <c r="R73" s="230">
        <v>17058.490000000002</v>
      </c>
      <c r="S73" s="232">
        <v>0</v>
      </c>
      <c r="T73">
        <v>0</v>
      </c>
      <c r="U73" s="233">
        <v>3010.91</v>
      </c>
      <c r="V73">
        <v>0</v>
      </c>
      <c r="W73">
        <v>3010.91</v>
      </c>
      <c r="X73">
        <v>0</v>
      </c>
      <c r="Y73">
        <v>0</v>
      </c>
    </row>
    <row r="74" spans="1:25" x14ac:dyDescent="0.25">
      <c r="A74" t="s">
        <v>1009</v>
      </c>
      <c r="B74" t="s">
        <v>606</v>
      </c>
      <c r="C74" t="s">
        <v>1140</v>
      </c>
      <c r="D74" t="s">
        <v>880</v>
      </c>
      <c r="E74">
        <v>50888</v>
      </c>
      <c r="F74">
        <v>43254.8</v>
      </c>
      <c r="G74">
        <v>43254.8</v>
      </c>
      <c r="H74">
        <v>0</v>
      </c>
      <c r="I74" s="237">
        <v>7633.2</v>
      </c>
      <c r="J74" s="235">
        <v>0</v>
      </c>
      <c r="K74">
        <v>7633.2</v>
      </c>
      <c r="L74">
        <v>0</v>
      </c>
      <c r="M74">
        <v>0</v>
      </c>
      <c r="O74">
        <v>47799.03</v>
      </c>
      <c r="P74">
        <v>47799.03</v>
      </c>
      <c r="Q74">
        <v>32078.35</v>
      </c>
      <c r="R74" s="230">
        <v>32078.35</v>
      </c>
      <c r="S74" s="232">
        <v>0</v>
      </c>
      <c r="T74">
        <v>0</v>
      </c>
      <c r="U74" s="233">
        <v>5660.89</v>
      </c>
      <c r="V74">
        <v>0</v>
      </c>
      <c r="W74">
        <v>5660.89</v>
      </c>
      <c r="X74">
        <v>0</v>
      </c>
      <c r="Y74">
        <v>0</v>
      </c>
    </row>
    <row r="75" spans="1:25" x14ac:dyDescent="0.25">
      <c r="A75" t="s">
        <v>1008</v>
      </c>
      <c r="B75" t="s">
        <v>602</v>
      </c>
      <c r="C75" t="s">
        <v>1141</v>
      </c>
      <c r="D75" t="s">
        <v>1090</v>
      </c>
      <c r="E75">
        <v>70618.14</v>
      </c>
      <c r="F75">
        <v>60025.41</v>
      </c>
      <c r="G75">
        <v>60025.41</v>
      </c>
      <c r="H75">
        <v>0</v>
      </c>
      <c r="I75" s="237">
        <v>10592.73</v>
      </c>
      <c r="J75" s="235">
        <v>0</v>
      </c>
      <c r="K75">
        <v>10592.73</v>
      </c>
      <c r="L75">
        <v>0</v>
      </c>
      <c r="M75">
        <v>0</v>
      </c>
      <c r="O75">
        <v>46625.48</v>
      </c>
      <c r="P75">
        <v>46625.48</v>
      </c>
      <c r="Q75">
        <v>39975.019999999997</v>
      </c>
      <c r="R75" s="230">
        <v>39975.019999999997</v>
      </c>
      <c r="S75" s="232">
        <v>0</v>
      </c>
      <c r="T75">
        <v>0</v>
      </c>
      <c r="U75" s="233">
        <v>6650.46</v>
      </c>
      <c r="V75">
        <v>0</v>
      </c>
      <c r="W75">
        <v>6650.46</v>
      </c>
      <c r="X75">
        <v>0</v>
      </c>
      <c r="Y75">
        <v>0</v>
      </c>
    </row>
    <row r="76" spans="1:25" x14ac:dyDescent="0.25">
      <c r="A76" t="s">
        <v>1010</v>
      </c>
      <c r="B76" t="s">
        <v>1142</v>
      </c>
      <c r="C76" t="s">
        <v>1097</v>
      </c>
      <c r="D76" t="s">
        <v>1090</v>
      </c>
      <c r="E76">
        <v>1029164.59</v>
      </c>
      <c r="F76">
        <v>635473.81000000006</v>
      </c>
      <c r="G76">
        <v>635473.81000000006</v>
      </c>
      <c r="H76">
        <v>0</v>
      </c>
      <c r="I76" s="237">
        <v>393690.78</v>
      </c>
      <c r="J76" s="235">
        <v>0</v>
      </c>
      <c r="K76">
        <v>393690.78</v>
      </c>
      <c r="L76">
        <v>0</v>
      </c>
      <c r="M76">
        <v>0</v>
      </c>
      <c r="O76">
        <v>155630</v>
      </c>
      <c r="P76">
        <v>155630</v>
      </c>
      <c r="Q76">
        <v>154196.29</v>
      </c>
      <c r="R76" s="230">
        <v>154196.29</v>
      </c>
      <c r="S76" s="232">
        <v>0</v>
      </c>
      <c r="T76">
        <v>0</v>
      </c>
      <c r="U76" s="233">
        <v>1433.71</v>
      </c>
      <c r="V76">
        <v>0</v>
      </c>
      <c r="W76">
        <v>1433.71</v>
      </c>
      <c r="X76">
        <v>0</v>
      </c>
      <c r="Y76">
        <v>0</v>
      </c>
    </row>
    <row r="77" spans="1:25" x14ac:dyDescent="0.25">
      <c r="A77" t="s">
        <v>1016</v>
      </c>
      <c r="B77" t="s">
        <v>631</v>
      </c>
      <c r="C77" t="s">
        <v>1094</v>
      </c>
      <c r="D77" t="s">
        <v>1090</v>
      </c>
      <c r="E77">
        <v>498295</v>
      </c>
      <c r="F77">
        <v>423550.75</v>
      </c>
      <c r="G77">
        <v>423550.75</v>
      </c>
      <c r="H77">
        <v>0</v>
      </c>
      <c r="I77" s="237">
        <v>74744.25</v>
      </c>
      <c r="J77" s="235">
        <v>0</v>
      </c>
      <c r="K77">
        <v>74744.25</v>
      </c>
      <c r="L77">
        <v>0</v>
      </c>
      <c r="M77">
        <v>0</v>
      </c>
      <c r="O77">
        <v>623265.43000000005</v>
      </c>
      <c r="P77">
        <v>623265.43000000005</v>
      </c>
      <c r="Q77">
        <v>421770.37</v>
      </c>
      <c r="R77" s="230">
        <v>421770.37</v>
      </c>
      <c r="S77" s="232">
        <v>0</v>
      </c>
      <c r="T77">
        <v>0</v>
      </c>
      <c r="U77" s="233">
        <v>74430.06</v>
      </c>
      <c r="V77">
        <v>0</v>
      </c>
      <c r="W77">
        <v>74430.06</v>
      </c>
      <c r="X77">
        <v>0</v>
      </c>
      <c r="Y77">
        <v>0</v>
      </c>
    </row>
    <row r="78" spans="1:25" x14ac:dyDescent="0.25">
      <c r="A78" t="s">
        <v>1013</v>
      </c>
      <c r="B78" t="s">
        <v>622</v>
      </c>
      <c r="C78" t="s">
        <v>1098</v>
      </c>
      <c r="D78" t="s">
        <v>1090</v>
      </c>
      <c r="E78">
        <v>301122.82</v>
      </c>
      <c r="F78">
        <v>255954.39</v>
      </c>
      <c r="G78">
        <v>255954.39</v>
      </c>
      <c r="H78">
        <v>0</v>
      </c>
      <c r="I78" s="237">
        <v>45168.43</v>
      </c>
      <c r="J78" s="235">
        <v>0</v>
      </c>
      <c r="K78">
        <v>45168.43</v>
      </c>
      <c r="L78">
        <v>0</v>
      </c>
      <c r="M78">
        <v>0</v>
      </c>
      <c r="O78">
        <v>163937.44</v>
      </c>
      <c r="P78">
        <v>163937.44</v>
      </c>
      <c r="Q78">
        <v>135139.32</v>
      </c>
      <c r="R78" s="230">
        <v>135139.32</v>
      </c>
      <c r="S78" s="232">
        <v>0</v>
      </c>
      <c r="T78">
        <v>0</v>
      </c>
      <c r="U78" s="233">
        <v>18290.62</v>
      </c>
      <c r="V78">
        <v>0</v>
      </c>
      <c r="W78">
        <v>18290.62</v>
      </c>
      <c r="X78">
        <v>0</v>
      </c>
      <c r="Y78">
        <v>0</v>
      </c>
    </row>
    <row r="79" spans="1:25" x14ac:dyDescent="0.25">
      <c r="A79" t="s">
        <v>1012</v>
      </c>
      <c r="B79" t="s">
        <v>1143</v>
      </c>
      <c r="C79" t="s">
        <v>1097</v>
      </c>
      <c r="D79" t="s">
        <v>1090</v>
      </c>
      <c r="E79">
        <v>429341.5</v>
      </c>
      <c r="F79">
        <v>364940.27</v>
      </c>
      <c r="G79">
        <v>364940.27</v>
      </c>
      <c r="H79">
        <v>0</v>
      </c>
      <c r="I79" s="237">
        <v>64401.23</v>
      </c>
      <c r="J79" s="235">
        <v>0</v>
      </c>
      <c r="K79">
        <v>64401.23</v>
      </c>
      <c r="L79">
        <v>0</v>
      </c>
      <c r="M79">
        <v>0</v>
      </c>
      <c r="O79">
        <v>303144.90999999997</v>
      </c>
      <c r="P79">
        <v>303144.90999999997</v>
      </c>
      <c r="Q79">
        <v>221155.83</v>
      </c>
      <c r="R79" s="230">
        <v>221155.83</v>
      </c>
      <c r="S79" s="232">
        <v>0</v>
      </c>
      <c r="T79">
        <v>0</v>
      </c>
      <c r="U79" s="233">
        <v>31845.14</v>
      </c>
      <c r="V79">
        <v>0</v>
      </c>
      <c r="W79">
        <v>31845.14</v>
      </c>
      <c r="X79">
        <v>0</v>
      </c>
      <c r="Y79">
        <v>0</v>
      </c>
    </row>
    <row r="80" spans="1:25" x14ac:dyDescent="0.25">
      <c r="A80" t="s">
        <v>1011</v>
      </c>
      <c r="B80" t="s">
        <v>615</v>
      </c>
      <c r="C80" t="s">
        <v>1102</v>
      </c>
      <c r="D80" t="s">
        <v>1090</v>
      </c>
      <c r="E80">
        <v>431079.82</v>
      </c>
      <c r="F80">
        <v>366417.84</v>
      </c>
      <c r="G80">
        <v>366417.84</v>
      </c>
      <c r="H80">
        <v>0</v>
      </c>
      <c r="I80" s="237">
        <v>64661.98</v>
      </c>
      <c r="J80" s="235">
        <v>0</v>
      </c>
      <c r="K80">
        <v>64661.98</v>
      </c>
      <c r="L80">
        <v>0</v>
      </c>
      <c r="M80">
        <v>0</v>
      </c>
      <c r="O80">
        <v>365681.45</v>
      </c>
      <c r="P80">
        <v>365681.45</v>
      </c>
      <c r="Q80">
        <v>287318.03000000003</v>
      </c>
      <c r="R80" s="230">
        <v>287318.03000000003</v>
      </c>
      <c r="S80" s="232">
        <v>0</v>
      </c>
      <c r="T80">
        <v>0</v>
      </c>
      <c r="U80" s="233">
        <v>38363.42</v>
      </c>
      <c r="V80">
        <v>0</v>
      </c>
      <c r="W80">
        <v>38363.42</v>
      </c>
      <c r="X80">
        <v>0</v>
      </c>
      <c r="Y80">
        <v>0</v>
      </c>
    </row>
    <row r="81" spans="1:25" x14ac:dyDescent="0.25">
      <c r="A81" t="s">
        <v>1014</v>
      </c>
      <c r="B81" t="s">
        <v>625</v>
      </c>
      <c r="C81" t="s">
        <v>1089</v>
      </c>
      <c r="D81" t="s">
        <v>1090</v>
      </c>
      <c r="E81">
        <v>577222.22</v>
      </c>
      <c r="F81">
        <v>490585</v>
      </c>
      <c r="G81">
        <v>490585</v>
      </c>
      <c r="H81">
        <v>0</v>
      </c>
      <c r="I81" s="237">
        <v>86637.22</v>
      </c>
      <c r="J81" s="235">
        <v>0</v>
      </c>
      <c r="K81">
        <v>86637.22</v>
      </c>
      <c r="L81">
        <v>0</v>
      </c>
      <c r="M81">
        <v>0</v>
      </c>
      <c r="O81">
        <v>348684.7</v>
      </c>
      <c r="P81">
        <v>348684.7</v>
      </c>
      <c r="Q81">
        <v>296349.44</v>
      </c>
      <c r="R81" s="230">
        <v>296349.44</v>
      </c>
      <c r="S81" s="232">
        <v>0</v>
      </c>
      <c r="T81">
        <v>0</v>
      </c>
      <c r="U81" s="233">
        <v>52335.26</v>
      </c>
      <c r="V81">
        <v>0</v>
      </c>
      <c r="W81">
        <v>52335.26</v>
      </c>
      <c r="X81">
        <v>0</v>
      </c>
      <c r="Y81">
        <v>0</v>
      </c>
    </row>
    <row r="82" spans="1:25" x14ac:dyDescent="0.25">
      <c r="A82" t="s">
        <v>1015</v>
      </c>
      <c r="B82" t="s">
        <v>628</v>
      </c>
      <c r="C82" t="s">
        <v>1092</v>
      </c>
      <c r="D82" t="s">
        <v>1090</v>
      </c>
      <c r="E82">
        <v>344844.84</v>
      </c>
      <c r="F82">
        <v>293118</v>
      </c>
      <c r="G82">
        <v>293118</v>
      </c>
      <c r="H82">
        <v>0</v>
      </c>
      <c r="I82" s="237">
        <v>51726.84</v>
      </c>
      <c r="J82" s="235">
        <v>0</v>
      </c>
      <c r="K82">
        <v>51726.84</v>
      </c>
      <c r="L82">
        <v>0</v>
      </c>
      <c r="M82">
        <v>0</v>
      </c>
      <c r="O82">
        <v>423338.88</v>
      </c>
      <c r="P82">
        <v>423338.88</v>
      </c>
      <c r="Q82">
        <v>267223.09999999998</v>
      </c>
      <c r="R82" s="230">
        <v>267223.09999999998</v>
      </c>
      <c r="S82" s="232">
        <v>0</v>
      </c>
      <c r="T82">
        <v>0</v>
      </c>
      <c r="U82" s="233">
        <v>46715.93</v>
      </c>
      <c r="V82">
        <v>0</v>
      </c>
      <c r="W82">
        <v>46715.93</v>
      </c>
      <c r="X82">
        <v>0</v>
      </c>
      <c r="Y82">
        <v>0</v>
      </c>
    </row>
    <row r="83" spans="1:25" x14ac:dyDescent="0.25">
      <c r="A83" t="s">
        <v>989</v>
      </c>
      <c r="B83" t="s">
        <v>507</v>
      </c>
      <c r="C83" t="s">
        <v>1144</v>
      </c>
      <c r="D83" t="s">
        <v>1090</v>
      </c>
      <c r="E83">
        <v>86991.46</v>
      </c>
      <c r="F83">
        <v>80467.100000000006</v>
      </c>
      <c r="G83">
        <v>73942.740000000005</v>
      </c>
      <c r="H83">
        <v>6524.36</v>
      </c>
      <c r="I83" s="237">
        <v>6524.36</v>
      </c>
      <c r="J83" s="235">
        <v>0</v>
      </c>
      <c r="K83">
        <v>0</v>
      </c>
      <c r="L83">
        <v>0</v>
      </c>
      <c r="M83">
        <v>6524.36</v>
      </c>
      <c r="O83">
        <v>38793.25</v>
      </c>
      <c r="P83">
        <v>35883.760000000002</v>
      </c>
      <c r="Q83">
        <v>35883.75</v>
      </c>
      <c r="R83" s="230">
        <v>32974.26</v>
      </c>
      <c r="S83" s="232">
        <v>2909.49</v>
      </c>
      <c r="T83">
        <v>2909.49</v>
      </c>
      <c r="U83" s="233">
        <v>2909.5</v>
      </c>
      <c r="V83">
        <v>0</v>
      </c>
      <c r="W83">
        <v>0</v>
      </c>
      <c r="X83">
        <v>0</v>
      </c>
      <c r="Y83">
        <v>2909.5</v>
      </c>
    </row>
    <row r="84" spans="1:25" x14ac:dyDescent="0.25">
      <c r="A84" t="s">
        <v>993</v>
      </c>
      <c r="B84" t="s">
        <v>523</v>
      </c>
      <c r="C84" t="s">
        <v>1145</v>
      </c>
      <c r="D84" t="s">
        <v>1090</v>
      </c>
      <c r="E84">
        <v>153580</v>
      </c>
      <c r="F84">
        <v>142061.5</v>
      </c>
      <c r="G84">
        <v>130543</v>
      </c>
      <c r="H84">
        <v>11518.5</v>
      </c>
      <c r="I84" s="237">
        <v>11518.5</v>
      </c>
      <c r="J84" s="235">
        <v>11518.5</v>
      </c>
      <c r="K84">
        <v>0</v>
      </c>
      <c r="L84">
        <v>0</v>
      </c>
      <c r="M84">
        <v>0</v>
      </c>
      <c r="O84">
        <v>8027.49</v>
      </c>
      <c r="P84">
        <v>8027.49</v>
      </c>
      <c r="Q84">
        <v>7425.43</v>
      </c>
      <c r="R84" s="230">
        <v>6823.37</v>
      </c>
      <c r="S84" s="232">
        <v>602.05999999999995</v>
      </c>
      <c r="T84">
        <v>602.05999999999995</v>
      </c>
      <c r="U84" s="233">
        <v>602.05999999999995</v>
      </c>
      <c r="V84">
        <v>602.05999999999995</v>
      </c>
      <c r="W84">
        <v>0</v>
      </c>
      <c r="X84">
        <v>0</v>
      </c>
      <c r="Y84">
        <v>0</v>
      </c>
    </row>
    <row r="85" spans="1:25" x14ac:dyDescent="0.25">
      <c r="A85" t="s">
        <v>988</v>
      </c>
      <c r="B85" t="s">
        <v>497</v>
      </c>
      <c r="C85" t="s">
        <v>1146</v>
      </c>
      <c r="D85" t="s">
        <v>1090</v>
      </c>
      <c r="E85">
        <v>244033.66</v>
      </c>
      <c r="F85">
        <v>225731.13</v>
      </c>
      <c r="G85">
        <v>207428.61</v>
      </c>
      <c r="H85">
        <v>18302.52</v>
      </c>
      <c r="I85" s="237">
        <v>18302.53</v>
      </c>
      <c r="J85" s="235">
        <v>0</v>
      </c>
      <c r="K85">
        <v>18302.53</v>
      </c>
      <c r="L85">
        <v>0</v>
      </c>
      <c r="M85">
        <v>0</v>
      </c>
      <c r="O85">
        <v>13752.48</v>
      </c>
      <c r="P85">
        <v>13752.48</v>
      </c>
      <c r="Q85">
        <v>12721.05</v>
      </c>
      <c r="R85" s="230">
        <v>11689.61</v>
      </c>
      <c r="S85" s="232">
        <v>1031.44</v>
      </c>
      <c r="T85">
        <v>1031.44</v>
      </c>
      <c r="U85" s="233">
        <v>1031.43</v>
      </c>
      <c r="V85">
        <v>0</v>
      </c>
      <c r="W85">
        <v>1031.43</v>
      </c>
      <c r="X85">
        <v>0</v>
      </c>
      <c r="Y85">
        <v>0</v>
      </c>
    </row>
    <row r="86" spans="1:25" x14ac:dyDescent="0.25">
      <c r="A86" t="s">
        <v>990</v>
      </c>
      <c r="B86" t="s">
        <v>511</v>
      </c>
      <c r="C86" t="s">
        <v>1089</v>
      </c>
      <c r="D86" t="s">
        <v>1090</v>
      </c>
      <c r="E86">
        <v>180196.81</v>
      </c>
      <c r="F86">
        <v>166682.04</v>
      </c>
      <c r="G86">
        <v>153167.29</v>
      </c>
      <c r="H86">
        <v>13514.75</v>
      </c>
      <c r="I86" s="237">
        <v>13514.77</v>
      </c>
      <c r="J86" s="235">
        <v>0</v>
      </c>
      <c r="K86">
        <v>13514.77</v>
      </c>
      <c r="L86">
        <v>0</v>
      </c>
      <c r="M86">
        <v>0</v>
      </c>
      <c r="O86">
        <v>0</v>
      </c>
      <c r="P86">
        <v>0</v>
      </c>
      <c r="Q86">
        <v>0</v>
      </c>
      <c r="R86" s="230">
        <v>0</v>
      </c>
      <c r="S86" s="232">
        <v>0</v>
      </c>
      <c r="T86">
        <v>0</v>
      </c>
      <c r="U86" s="233">
        <v>0</v>
      </c>
      <c r="V86">
        <v>0</v>
      </c>
      <c r="W86">
        <v>0</v>
      </c>
      <c r="X86">
        <v>0</v>
      </c>
      <c r="Y86">
        <v>0</v>
      </c>
    </row>
    <row r="87" spans="1:25" x14ac:dyDescent="0.25">
      <c r="A87" t="s">
        <v>992</v>
      </c>
      <c r="B87" t="s">
        <v>1147</v>
      </c>
      <c r="C87" t="s">
        <v>1148</v>
      </c>
      <c r="D87" t="s">
        <v>880</v>
      </c>
      <c r="E87">
        <v>34226.199999999997</v>
      </c>
      <c r="F87">
        <v>28200</v>
      </c>
      <c r="G87">
        <v>28200</v>
      </c>
      <c r="H87">
        <v>0</v>
      </c>
      <c r="I87" s="237">
        <v>6026.2</v>
      </c>
      <c r="J87" s="235">
        <v>0</v>
      </c>
      <c r="K87">
        <v>0</v>
      </c>
      <c r="L87">
        <v>0</v>
      </c>
      <c r="M87">
        <v>6026.2</v>
      </c>
      <c r="O87">
        <v>34024.199999999997</v>
      </c>
      <c r="P87">
        <v>28033.57</v>
      </c>
      <c r="Q87">
        <v>28033.57</v>
      </c>
      <c r="R87" s="230">
        <v>28033.57</v>
      </c>
      <c r="S87" s="232">
        <v>0</v>
      </c>
      <c r="T87">
        <v>0</v>
      </c>
      <c r="U87" s="233">
        <v>5990.63</v>
      </c>
      <c r="V87">
        <v>0</v>
      </c>
      <c r="W87">
        <v>0</v>
      </c>
      <c r="X87">
        <v>0</v>
      </c>
      <c r="Y87">
        <v>5990.63</v>
      </c>
    </row>
    <row r="88" spans="1:25" x14ac:dyDescent="0.25">
      <c r="A88" t="s">
        <v>994</v>
      </c>
      <c r="B88" t="s">
        <v>1149</v>
      </c>
      <c r="C88" t="s">
        <v>1150</v>
      </c>
      <c r="D88" t="s">
        <v>1090</v>
      </c>
      <c r="E88">
        <v>163307.10999999999</v>
      </c>
      <c r="F88">
        <v>151059.07</v>
      </c>
      <c r="G88">
        <v>138811.04</v>
      </c>
      <c r="H88">
        <v>12248.03</v>
      </c>
      <c r="I88" s="237">
        <v>12248.04</v>
      </c>
      <c r="J88" s="235">
        <v>0</v>
      </c>
      <c r="K88">
        <v>0</v>
      </c>
      <c r="L88">
        <v>12248.04</v>
      </c>
      <c r="M88">
        <v>0</v>
      </c>
      <c r="O88">
        <v>30000</v>
      </c>
      <c r="P88">
        <v>30000</v>
      </c>
      <c r="Q88">
        <v>30000</v>
      </c>
      <c r="R88" s="230">
        <v>27567.57</v>
      </c>
      <c r="S88" s="232">
        <v>2432.4299999999998</v>
      </c>
      <c r="T88">
        <v>0</v>
      </c>
      <c r="U88" s="233">
        <v>0</v>
      </c>
      <c r="V88">
        <v>0</v>
      </c>
      <c r="W88">
        <v>0</v>
      </c>
      <c r="X88">
        <v>0</v>
      </c>
      <c r="Y88">
        <v>0</v>
      </c>
    </row>
    <row r="89" spans="1:25" x14ac:dyDescent="0.25">
      <c r="A89" t="s">
        <v>939</v>
      </c>
      <c r="B89" t="s">
        <v>161</v>
      </c>
      <c r="C89" t="s">
        <v>1102</v>
      </c>
      <c r="D89" t="s">
        <v>880</v>
      </c>
      <c r="E89">
        <v>904720</v>
      </c>
      <c r="F89">
        <v>859484</v>
      </c>
      <c r="G89">
        <v>769012</v>
      </c>
      <c r="H89">
        <v>90472</v>
      </c>
      <c r="I89" s="237">
        <v>45236</v>
      </c>
      <c r="J89" s="235">
        <v>0</v>
      </c>
      <c r="K89">
        <v>45236</v>
      </c>
      <c r="L89">
        <v>0</v>
      </c>
      <c r="M89">
        <v>0</v>
      </c>
      <c r="O89">
        <v>1976134.44</v>
      </c>
      <c r="P89">
        <v>1976134.44</v>
      </c>
      <c r="Q89">
        <v>851199.64</v>
      </c>
      <c r="R89" s="230">
        <v>761599.68</v>
      </c>
      <c r="S89" s="232">
        <v>89599.96</v>
      </c>
      <c r="T89">
        <v>89599.96</v>
      </c>
      <c r="U89" s="233">
        <v>44799.98</v>
      </c>
      <c r="V89">
        <v>0</v>
      </c>
      <c r="W89">
        <v>44799.98</v>
      </c>
      <c r="X89">
        <v>0</v>
      </c>
      <c r="Y89">
        <v>0</v>
      </c>
    </row>
    <row r="90" spans="1:25" x14ac:dyDescent="0.25">
      <c r="A90" t="s">
        <v>939</v>
      </c>
      <c r="B90" t="s">
        <v>161</v>
      </c>
      <c r="C90" t="s">
        <v>1102</v>
      </c>
      <c r="D90" t="s">
        <v>880</v>
      </c>
      <c r="N90" t="s">
        <v>1135</v>
      </c>
      <c r="O90">
        <v>0</v>
      </c>
      <c r="P90">
        <v>0</v>
      </c>
      <c r="Q90">
        <v>0</v>
      </c>
      <c r="R90" s="230">
        <v>0</v>
      </c>
      <c r="S90" s="232">
        <v>0</v>
      </c>
      <c r="T90">
        <v>-62180.63</v>
      </c>
      <c r="U90" s="233">
        <v>-62180.63</v>
      </c>
      <c r="V90">
        <v>0</v>
      </c>
      <c r="W90">
        <v>-62180.63</v>
      </c>
      <c r="X90">
        <v>0</v>
      </c>
      <c r="Y90">
        <v>0</v>
      </c>
    </row>
    <row r="91" spans="1:25" x14ac:dyDescent="0.25">
      <c r="A91" t="s">
        <v>939</v>
      </c>
      <c r="B91" t="s">
        <v>161</v>
      </c>
      <c r="C91" t="s">
        <v>1102</v>
      </c>
      <c r="D91" t="s">
        <v>880</v>
      </c>
      <c r="N91" t="s">
        <v>1135</v>
      </c>
      <c r="O91">
        <v>0</v>
      </c>
      <c r="P91">
        <v>0</v>
      </c>
      <c r="Q91">
        <v>0</v>
      </c>
      <c r="R91" s="230">
        <v>0</v>
      </c>
      <c r="S91" s="232">
        <v>0</v>
      </c>
      <c r="T91">
        <v>0</v>
      </c>
      <c r="U91" s="233">
        <v>0</v>
      </c>
      <c r="V91">
        <v>0</v>
      </c>
      <c r="W91">
        <v>0</v>
      </c>
      <c r="X91">
        <v>0</v>
      </c>
      <c r="Y91">
        <v>0</v>
      </c>
    </row>
    <row r="92" spans="1:25" x14ac:dyDescent="0.25">
      <c r="A92" t="s">
        <v>1006</v>
      </c>
      <c r="B92" t="s">
        <v>1151</v>
      </c>
      <c r="C92" t="s">
        <v>1097</v>
      </c>
      <c r="D92" t="s">
        <v>1090</v>
      </c>
      <c r="E92">
        <v>54411.76</v>
      </c>
      <c r="F92">
        <v>50330.879999999997</v>
      </c>
      <c r="G92">
        <v>46250</v>
      </c>
      <c r="H92">
        <v>4080.88</v>
      </c>
      <c r="I92" s="237">
        <v>4080.88</v>
      </c>
      <c r="J92" s="235">
        <v>0</v>
      </c>
      <c r="K92">
        <v>4080.88</v>
      </c>
      <c r="L92">
        <v>0</v>
      </c>
      <c r="M92">
        <v>0</v>
      </c>
      <c r="O92">
        <v>29008.639999999999</v>
      </c>
      <c r="P92">
        <v>29008.639999999999</v>
      </c>
      <c r="Q92">
        <v>27921.74</v>
      </c>
      <c r="R92" s="230">
        <v>25657.82</v>
      </c>
      <c r="S92" s="232">
        <v>2263.92</v>
      </c>
      <c r="T92">
        <v>1086.9100000000001</v>
      </c>
      <c r="U92" s="233">
        <v>1086.9000000000001</v>
      </c>
      <c r="V92">
        <v>0</v>
      </c>
      <c r="W92">
        <v>1086.9000000000001</v>
      </c>
      <c r="X92">
        <v>0</v>
      </c>
      <c r="Y92">
        <v>0</v>
      </c>
    </row>
    <row r="93" spans="1:25" x14ac:dyDescent="0.25">
      <c r="A93" t="s">
        <v>1002</v>
      </c>
      <c r="B93" t="s">
        <v>570</v>
      </c>
      <c r="C93" t="s">
        <v>1089</v>
      </c>
      <c r="D93" t="s">
        <v>1090</v>
      </c>
      <c r="E93">
        <v>207636</v>
      </c>
      <c r="F93">
        <v>192063</v>
      </c>
      <c r="G93">
        <v>176490</v>
      </c>
      <c r="H93">
        <v>15573</v>
      </c>
      <c r="I93" s="237">
        <v>15573</v>
      </c>
      <c r="J93" s="235">
        <v>0</v>
      </c>
      <c r="K93">
        <v>15573</v>
      </c>
      <c r="L93">
        <v>0</v>
      </c>
      <c r="M93">
        <v>0</v>
      </c>
      <c r="O93">
        <v>40580.67</v>
      </c>
      <c r="P93">
        <v>40580.67</v>
      </c>
      <c r="Q93">
        <v>39037.089999999997</v>
      </c>
      <c r="R93" s="230">
        <v>35871.85</v>
      </c>
      <c r="S93" s="232">
        <v>3165.24</v>
      </c>
      <c r="T93">
        <v>1543.58</v>
      </c>
      <c r="U93" s="233">
        <v>1543.58</v>
      </c>
      <c r="V93">
        <v>0</v>
      </c>
      <c r="W93">
        <v>1543.58</v>
      </c>
      <c r="X93">
        <v>0</v>
      </c>
      <c r="Y93">
        <v>0</v>
      </c>
    </row>
    <row r="94" spans="1:25" x14ac:dyDescent="0.25">
      <c r="A94" t="s">
        <v>1004</v>
      </c>
      <c r="B94" t="s">
        <v>578</v>
      </c>
      <c r="C94" t="s">
        <v>1152</v>
      </c>
      <c r="D94" t="s">
        <v>1090</v>
      </c>
      <c r="E94">
        <v>140294.17000000001</v>
      </c>
      <c r="F94">
        <v>129772.1</v>
      </c>
      <c r="G94">
        <v>119250.04</v>
      </c>
      <c r="H94">
        <v>10522.06</v>
      </c>
      <c r="I94" s="237">
        <v>10522.07</v>
      </c>
      <c r="J94" s="235">
        <v>0</v>
      </c>
      <c r="K94">
        <v>10522.07</v>
      </c>
      <c r="L94">
        <v>0</v>
      </c>
      <c r="M94">
        <v>0</v>
      </c>
      <c r="O94">
        <v>67875.38</v>
      </c>
      <c r="P94">
        <v>67875.38</v>
      </c>
      <c r="Q94">
        <v>65034.720000000001</v>
      </c>
      <c r="R94" s="230">
        <v>59761.64</v>
      </c>
      <c r="S94" s="232">
        <v>5273.08</v>
      </c>
      <c r="T94">
        <v>2840.65</v>
      </c>
      <c r="U94" s="233">
        <v>2840.66</v>
      </c>
      <c r="V94">
        <v>0</v>
      </c>
      <c r="W94">
        <v>2840.66</v>
      </c>
      <c r="X94">
        <v>0</v>
      </c>
      <c r="Y94">
        <v>0</v>
      </c>
    </row>
    <row r="95" spans="1:25" x14ac:dyDescent="0.25">
      <c r="A95" t="s">
        <v>1005</v>
      </c>
      <c r="B95" t="s">
        <v>582</v>
      </c>
      <c r="C95" t="s">
        <v>1152</v>
      </c>
      <c r="D95" t="s">
        <v>1090</v>
      </c>
      <c r="E95">
        <v>46794.12</v>
      </c>
      <c r="F95">
        <v>43284.56</v>
      </c>
      <c r="G95">
        <v>39775</v>
      </c>
      <c r="H95">
        <v>3509.56</v>
      </c>
      <c r="I95" s="237">
        <v>3509.56</v>
      </c>
      <c r="J95" s="235">
        <v>0</v>
      </c>
      <c r="K95">
        <v>3509.56</v>
      </c>
      <c r="L95">
        <v>0</v>
      </c>
      <c r="M95">
        <v>0</v>
      </c>
      <c r="O95">
        <v>30853.52</v>
      </c>
      <c r="P95">
        <v>30853.52</v>
      </c>
      <c r="Q95">
        <v>29054.75</v>
      </c>
      <c r="R95" s="230">
        <v>26698.959999999999</v>
      </c>
      <c r="S95" s="232">
        <v>2355.79</v>
      </c>
      <c r="T95">
        <v>1798.77</v>
      </c>
      <c r="U95" s="233">
        <v>1798.77</v>
      </c>
      <c r="V95">
        <v>0</v>
      </c>
      <c r="W95">
        <v>1798.77</v>
      </c>
      <c r="X95">
        <v>0</v>
      </c>
      <c r="Y95">
        <v>0</v>
      </c>
    </row>
    <row r="96" spans="1:25" x14ac:dyDescent="0.25">
      <c r="A96" t="s">
        <v>1005</v>
      </c>
      <c r="B96" t="s">
        <v>582</v>
      </c>
      <c r="C96" t="s">
        <v>1152</v>
      </c>
      <c r="D96" t="s">
        <v>1090</v>
      </c>
      <c r="N96" t="s">
        <v>1099</v>
      </c>
      <c r="O96">
        <v>0</v>
      </c>
      <c r="P96">
        <v>0</v>
      </c>
      <c r="Q96">
        <v>0</v>
      </c>
      <c r="R96" s="230">
        <v>0</v>
      </c>
      <c r="S96" s="232">
        <v>0</v>
      </c>
      <c r="T96">
        <v>-29.5</v>
      </c>
      <c r="U96" s="233">
        <v>-29.5</v>
      </c>
      <c r="V96">
        <v>0</v>
      </c>
      <c r="W96">
        <v>-29.5</v>
      </c>
      <c r="X96">
        <v>0</v>
      </c>
      <c r="Y96">
        <v>0</v>
      </c>
    </row>
    <row r="97" spans="1:25" x14ac:dyDescent="0.25">
      <c r="A97" t="s">
        <v>1005</v>
      </c>
      <c r="B97" t="s">
        <v>582</v>
      </c>
      <c r="C97" t="s">
        <v>1152</v>
      </c>
      <c r="D97" t="s">
        <v>1090</v>
      </c>
      <c r="N97" t="s">
        <v>1099</v>
      </c>
      <c r="O97">
        <v>-393.39</v>
      </c>
      <c r="P97">
        <v>-393.39</v>
      </c>
      <c r="Q97">
        <v>0</v>
      </c>
      <c r="R97" s="230">
        <v>0</v>
      </c>
      <c r="S97" s="232">
        <v>0</v>
      </c>
      <c r="T97">
        <v>0</v>
      </c>
      <c r="U97" s="233">
        <v>0</v>
      </c>
      <c r="V97">
        <v>0</v>
      </c>
      <c r="W97">
        <v>0</v>
      </c>
      <c r="X97">
        <v>0</v>
      </c>
      <c r="Y97">
        <v>0</v>
      </c>
    </row>
    <row r="98" spans="1:25" x14ac:dyDescent="0.25">
      <c r="A98" t="s">
        <v>1001</v>
      </c>
      <c r="B98" t="s">
        <v>564</v>
      </c>
      <c r="C98" t="s">
        <v>1153</v>
      </c>
      <c r="D98" t="s">
        <v>1090</v>
      </c>
      <c r="E98">
        <v>228408.24</v>
      </c>
      <c r="F98">
        <v>211267.24</v>
      </c>
      <c r="G98">
        <v>194147</v>
      </c>
      <c r="H98">
        <v>17120.240000000002</v>
      </c>
      <c r="I98" s="237">
        <v>17141</v>
      </c>
      <c r="J98" s="235">
        <v>0</v>
      </c>
      <c r="K98">
        <v>17141</v>
      </c>
      <c r="L98">
        <v>0</v>
      </c>
      <c r="M98">
        <v>0</v>
      </c>
      <c r="O98">
        <v>41371.870000000003</v>
      </c>
      <c r="P98">
        <v>41371.870000000003</v>
      </c>
      <c r="Q98">
        <v>39918.1</v>
      </c>
      <c r="R98" s="230">
        <v>36683.300000000003</v>
      </c>
      <c r="S98" s="232">
        <v>3234.8</v>
      </c>
      <c r="T98">
        <v>1452.01</v>
      </c>
      <c r="U98" s="233">
        <v>1453.77</v>
      </c>
      <c r="V98">
        <v>0</v>
      </c>
      <c r="W98">
        <v>1453.77</v>
      </c>
      <c r="X98">
        <v>0</v>
      </c>
      <c r="Y98">
        <v>0</v>
      </c>
    </row>
    <row r="99" spans="1:25" x14ac:dyDescent="0.25">
      <c r="A99" t="s">
        <v>1003</v>
      </c>
      <c r="B99" t="s">
        <v>1154</v>
      </c>
      <c r="C99" t="s">
        <v>1155</v>
      </c>
      <c r="D99" t="s">
        <v>1090</v>
      </c>
      <c r="E99">
        <v>291706.14</v>
      </c>
      <c r="F99">
        <v>269822.3</v>
      </c>
      <c r="G99">
        <v>247950.21</v>
      </c>
      <c r="H99">
        <v>21872.09</v>
      </c>
      <c r="I99" s="237">
        <v>21883.84</v>
      </c>
      <c r="J99" s="235">
        <v>0</v>
      </c>
      <c r="K99">
        <v>21883.84</v>
      </c>
      <c r="L99">
        <v>0</v>
      </c>
      <c r="M99">
        <v>0</v>
      </c>
      <c r="O99">
        <v>53998.02</v>
      </c>
      <c r="P99">
        <v>53998.02</v>
      </c>
      <c r="Q99">
        <v>50158.9</v>
      </c>
      <c r="R99" s="230">
        <v>46092.97</v>
      </c>
      <c r="S99" s="232">
        <v>4065.93</v>
      </c>
      <c r="T99">
        <v>3837.06</v>
      </c>
      <c r="U99" s="233">
        <v>3839.12</v>
      </c>
      <c r="V99">
        <v>0</v>
      </c>
      <c r="W99">
        <v>3839.12</v>
      </c>
      <c r="X99">
        <v>0</v>
      </c>
      <c r="Y99">
        <v>0</v>
      </c>
    </row>
    <row r="100" spans="1:25" x14ac:dyDescent="0.25">
      <c r="A100" t="s">
        <v>995</v>
      </c>
      <c r="B100" t="s">
        <v>1156</v>
      </c>
      <c r="C100" t="s">
        <v>1098</v>
      </c>
      <c r="D100" t="s">
        <v>1090</v>
      </c>
      <c r="E100">
        <v>13180</v>
      </c>
      <c r="F100">
        <v>12190</v>
      </c>
      <c r="G100">
        <v>11202</v>
      </c>
      <c r="H100">
        <v>988</v>
      </c>
      <c r="I100" s="237">
        <v>990</v>
      </c>
      <c r="J100" s="235">
        <v>0</v>
      </c>
      <c r="K100">
        <v>990</v>
      </c>
      <c r="L100">
        <v>0</v>
      </c>
      <c r="M100">
        <v>0</v>
      </c>
      <c r="O100">
        <v>4319.71</v>
      </c>
      <c r="P100">
        <v>4319.71</v>
      </c>
      <c r="Q100">
        <v>4269.53</v>
      </c>
      <c r="R100" s="230">
        <v>3923.48</v>
      </c>
      <c r="S100" s="232">
        <v>346.05</v>
      </c>
      <c r="T100">
        <v>49.29</v>
      </c>
      <c r="U100" s="233">
        <v>49.39</v>
      </c>
      <c r="V100">
        <v>0</v>
      </c>
      <c r="W100">
        <v>49.39</v>
      </c>
      <c r="X100">
        <v>0</v>
      </c>
      <c r="Y100">
        <v>0</v>
      </c>
    </row>
    <row r="101" spans="1:25" x14ac:dyDescent="0.25">
      <c r="A101" t="s">
        <v>995</v>
      </c>
      <c r="B101" t="s">
        <v>1156</v>
      </c>
      <c r="C101" t="s">
        <v>1098</v>
      </c>
      <c r="D101" t="s">
        <v>1090</v>
      </c>
      <c r="N101" t="s">
        <v>1157</v>
      </c>
      <c r="O101">
        <v>0</v>
      </c>
      <c r="P101">
        <v>0</v>
      </c>
      <c r="Q101">
        <v>0</v>
      </c>
      <c r="R101" s="230">
        <v>0</v>
      </c>
      <c r="S101" s="232">
        <v>0</v>
      </c>
      <c r="T101">
        <v>-0.03</v>
      </c>
      <c r="U101" s="233">
        <v>-0.03</v>
      </c>
      <c r="V101">
        <v>0</v>
      </c>
      <c r="W101">
        <v>-0.03</v>
      </c>
      <c r="X101">
        <v>0</v>
      </c>
      <c r="Y101">
        <v>0</v>
      </c>
    </row>
    <row r="102" spans="1:25" x14ac:dyDescent="0.25">
      <c r="A102" t="s">
        <v>995</v>
      </c>
      <c r="B102" t="s">
        <v>1156</v>
      </c>
      <c r="C102" t="s">
        <v>1098</v>
      </c>
      <c r="D102" t="s">
        <v>1090</v>
      </c>
      <c r="N102" t="s">
        <v>1157</v>
      </c>
      <c r="O102">
        <v>0</v>
      </c>
      <c r="P102">
        <v>0</v>
      </c>
      <c r="Q102">
        <v>0</v>
      </c>
      <c r="R102" s="230">
        <v>0</v>
      </c>
      <c r="S102" s="232">
        <v>0</v>
      </c>
      <c r="T102">
        <v>-0.1</v>
      </c>
      <c r="U102" s="233">
        <v>-0.1</v>
      </c>
      <c r="V102">
        <v>0</v>
      </c>
      <c r="W102">
        <v>-0.1</v>
      </c>
      <c r="X102">
        <v>0</v>
      </c>
      <c r="Y102">
        <v>0</v>
      </c>
    </row>
    <row r="103" spans="1:25" x14ac:dyDescent="0.25">
      <c r="A103" t="s">
        <v>995</v>
      </c>
      <c r="B103" t="s">
        <v>1156</v>
      </c>
      <c r="C103" t="s">
        <v>1098</v>
      </c>
      <c r="D103" t="s">
        <v>1090</v>
      </c>
      <c r="N103" t="s">
        <v>1157</v>
      </c>
      <c r="O103">
        <v>0</v>
      </c>
      <c r="P103">
        <v>0</v>
      </c>
      <c r="Q103">
        <v>0</v>
      </c>
      <c r="R103" s="230">
        <v>0</v>
      </c>
      <c r="S103" s="232">
        <v>0</v>
      </c>
      <c r="T103">
        <v>-0.26</v>
      </c>
      <c r="U103" s="233">
        <v>-0.26</v>
      </c>
      <c r="V103">
        <v>0</v>
      </c>
      <c r="W103">
        <v>-0.26</v>
      </c>
      <c r="X103">
        <v>0</v>
      </c>
      <c r="Y103">
        <v>0</v>
      </c>
    </row>
    <row r="104" spans="1:25" x14ac:dyDescent="0.25">
      <c r="A104" t="s">
        <v>995</v>
      </c>
      <c r="B104" t="s">
        <v>1156</v>
      </c>
      <c r="C104" t="s">
        <v>1098</v>
      </c>
      <c r="D104" t="s">
        <v>1090</v>
      </c>
      <c r="N104" t="s">
        <v>1157</v>
      </c>
      <c r="O104">
        <v>0</v>
      </c>
      <c r="P104">
        <v>0</v>
      </c>
      <c r="Q104">
        <v>-0.4</v>
      </c>
      <c r="R104" s="230">
        <v>-0.37</v>
      </c>
      <c r="S104" s="232">
        <v>-0.03</v>
      </c>
      <c r="T104">
        <v>0</v>
      </c>
      <c r="U104" s="233">
        <v>0</v>
      </c>
      <c r="V104">
        <v>0</v>
      </c>
      <c r="W104">
        <v>0</v>
      </c>
      <c r="X104">
        <v>0</v>
      </c>
      <c r="Y104">
        <v>0</v>
      </c>
    </row>
    <row r="105" spans="1:25" x14ac:dyDescent="0.25">
      <c r="A105" t="s">
        <v>996</v>
      </c>
      <c r="B105" t="s">
        <v>540</v>
      </c>
      <c r="C105" t="s">
        <v>1158</v>
      </c>
      <c r="D105" t="s">
        <v>1090</v>
      </c>
      <c r="E105">
        <v>6134.93</v>
      </c>
      <c r="F105">
        <v>5674.81</v>
      </c>
      <c r="G105">
        <v>5214.6899999999996</v>
      </c>
      <c r="H105">
        <v>460.12</v>
      </c>
      <c r="I105" s="237">
        <v>460.12</v>
      </c>
      <c r="J105" s="235">
        <v>0</v>
      </c>
      <c r="K105">
        <v>460.12</v>
      </c>
      <c r="L105">
        <v>0</v>
      </c>
      <c r="M105">
        <v>0</v>
      </c>
      <c r="O105">
        <v>575.03</v>
      </c>
      <c r="P105">
        <v>575.03</v>
      </c>
      <c r="Q105">
        <v>531.91</v>
      </c>
      <c r="R105" s="230">
        <v>488.78</v>
      </c>
      <c r="S105" s="232">
        <v>43.13</v>
      </c>
      <c r="T105">
        <v>43.13</v>
      </c>
      <c r="U105" s="233">
        <v>43.12</v>
      </c>
      <c r="V105">
        <v>0</v>
      </c>
      <c r="W105">
        <v>43.12</v>
      </c>
      <c r="X105">
        <v>0</v>
      </c>
      <c r="Y105">
        <v>0</v>
      </c>
    </row>
    <row r="106" spans="1:25" x14ac:dyDescent="0.25">
      <c r="A106" t="s">
        <v>997</v>
      </c>
      <c r="B106" t="s">
        <v>1159</v>
      </c>
      <c r="C106" t="s">
        <v>1160</v>
      </c>
      <c r="D106" t="s">
        <v>1090</v>
      </c>
      <c r="E106">
        <v>7725.47</v>
      </c>
      <c r="F106">
        <v>7146.05</v>
      </c>
      <c r="G106">
        <v>6566.65</v>
      </c>
      <c r="H106">
        <v>579.4</v>
      </c>
      <c r="I106" s="237">
        <v>579.41999999999996</v>
      </c>
      <c r="J106" s="235">
        <v>0</v>
      </c>
      <c r="K106">
        <v>0</v>
      </c>
      <c r="L106">
        <v>579.41999999999996</v>
      </c>
      <c r="M106">
        <v>0</v>
      </c>
      <c r="O106">
        <v>907.82</v>
      </c>
      <c r="P106">
        <v>907.82</v>
      </c>
      <c r="Q106">
        <v>839.74</v>
      </c>
      <c r="R106" s="230">
        <v>771.65</v>
      </c>
      <c r="S106" s="232">
        <v>68.09</v>
      </c>
      <c r="T106">
        <v>68.09</v>
      </c>
      <c r="U106" s="233">
        <v>68.08</v>
      </c>
      <c r="V106">
        <v>0</v>
      </c>
      <c r="W106">
        <v>0</v>
      </c>
      <c r="X106">
        <v>68.08</v>
      </c>
      <c r="Y106">
        <v>0</v>
      </c>
    </row>
    <row r="107" spans="1:25" x14ac:dyDescent="0.25">
      <c r="A107" t="s">
        <v>998</v>
      </c>
      <c r="B107" t="s">
        <v>548</v>
      </c>
      <c r="C107" t="s">
        <v>1161</v>
      </c>
      <c r="D107" t="s">
        <v>1090</v>
      </c>
      <c r="E107">
        <v>5453.27</v>
      </c>
      <c r="F107">
        <v>5044.2700000000004</v>
      </c>
      <c r="G107">
        <v>4635.28</v>
      </c>
      <c r="H107">
        <v>408.99</v>
      </c>
      <c r="I107" s="237">
        <v>409</v>
      </c>
      <c r="J107" s="235">
        <v>0</v>
      </c>
      <c r="K107">
        <v>409</v>
      </c>
      <c r="L107">
        <v>0</v>
      </c>
      <c r="M107">
        <v>0</v>
      </c>
      <c r="O107">
        <v>351</v>
      </c>
      <c r="P107">
        <v>351</v>
      </c>
      <c r="Q107">
        <v>324.67</v>
      </c>
      <c r="R107" s="230">
        <v>298.35000000000002</v>
      </c>
      <c r="S107" s="232">
        <v>26.32</v>
      </c>
      <c r="T107">
        <v>26.32</v>
      </c>
      <c r="U107" s="233">
        <v>26.33</v>
      </c>
      <c r="V107">
        <v>0</v>
      </c>
      <c r="W107">
        <v>26.33</v>
      </c>
      <c r="X107">
        <v>0</v>
      </c>
      <c r="Y107">
        <v>0</v>
      </c>
    </row>
    <row r="108" spans="1:25" x14ac:dyDescent="0.25">
      <c r="A108" t="s">
        <v>1000</v>
      </c>
      <c r="B108" t="s">
        <v>1162</v>
      </c>
      <c r="C108" t="s">
        <v>1145</v>
      </c>
      <c r="D108" t="s">
        <v>1090</v>
      </c>
      <c r="E108">
        <v>6589</v>
      </c>
      <c r="F108">
        <v>6094.82</v>
      </c>
      <c r="G108">
        <v>5600.64</v>
      </c>
      <c r="H108">
        <v>494.18</v>
      </c>
      <c r="I108" s="237">
        <v>494.18</v>
      </c>
      <c r="J108" s="235">
        <v>0</v>
      </c>
      <c r="K108">
        <v>0</v>
      </c>
      <c r="L108">
        <v>494.18</v>
      </c>
      <c r="M108">
        <v>0</v>
      </c>
      <c r="O108">
        <v>126</v>
      </c>
      <c r="P108">
        <v>126</v>
      </c>
      <c r="Q108">
        <v>116.55</v>
      </c>
      <c r="R108" s="230">
        <v>107.1</v>
      </c>
      <c r="S108" s="232">
        <v>9.4499999999999993</v>
      </c>
      <c r="T108">
        <v>9.4499999999999993</v>
      </c>
      <c r="U108" s="233">
        <v>9.4499999999999993</v>
      </c>
      <c r="V108">
        <v>0</v>
      </c>
      <c r="W108">
        <v>0</v>
      </c>
      <c r="X108">
        <v>9.4499999999999993</v>
      </c>
      <c r="Y108">
        <v>0</v>
      </c>
    </row>
    <row r="109" spans="1:25" x14ac:dyDescent="0.25">
      <c r="A109" t="s">
        <v>982</v>
      </c>
      <c r="B109" t="s">
        <v>1163</v>
      </c>
      <c r="C109" t="s">
        <v>1094</v>
      </c>
      <c r="D109" t="s">
        <v>1090</v>
      </c>
      <c r="E109">
        <v>609261.09</v>
      </c>
      <c r="F109">
        <v>420472</v>
      </c>
      <c r="G109">
        <v>386380</v>
      </c>
      <c r="H109">
        <v>34092</v>
      </c>
      <c r="I109" s="237">
        <v>188789.09</v>
      </c>
      <c r="J109" s="235">
        <v>0</v>
      </c>
      <c r="K109">
        <v>188789.09</v>
      </c>
      <c r="L109">
        <v>0</v>
      </c>
      <c r="M109">
        <v>0</v>
      </c>
      <c r="O109">
        <v>7186.95</v>
      </c>
      <c r="P109">
        <v>7186.95</v>
      </c>
      <c r="Q109">
        <v>4959.97</v>
      </c>
      <c r="R109" s="230">
        <v>4557.8100000000004</v>
      </c>
      <c r="S109" s="232">
        <v>402.16</v>
      </c>
      <c r="T109">
        <v>402.16</v>
      </c>
      <c r="U109" s="233">
        <v>2226.98</v>
      </c>
      <c r="V109">
        <v>0</v>
      </c>
      <c r="W109">
        <v>2226.98</v>
      </c>
      <c r="X109">
        <v>0</v>
      </c>
      <c r="Y109">
        <v>0</v>
      </c>
    </row>
    <row r="110" spans="1:25" x14ac:dyDescent="0.25">
      <c r="A110" t="s">
        <v>984</v>
      </c>
      <c r="B110" t="s">
        <v>1164</v>
      </c>
      <c r="C110" t="s">
        <v>1089</v>
      </c>
      <c r="D110" t="s">
        <v>1090</v>
      </c>
      <c r="E110">
        <v>361401</v>
      </c>
      <c r="F110">
        <v>307018</v>
      </c>
      <c r="G110">
        <v>282125</v>
      </c>
      <c r="H110">
        <v>24893</v>
      </c>
      <c r="I110" s="237">
        <v>54383</v>
      </c>
      <c r="J110" s="235">
        <v>0</v>
      </c>
      <c r="K110">
        <v>54383</v>
      </c>
      <c r="L110">
        <v>0</v>
      </c>
      <c r="M110">
        <v>0</v>
      </c>
      <c r="O110">
        <v>3057.98</v>
      </c>
      <c r="P110">
        <v>3057.98</v>
      </c>
      <c r="Q110">
        <v>2597.8200000000002</v>
      </c>
      <c r="R110" s="230">
        <v>2387.19</v>
      </c>
      <c r="S110" s="232">
        <v>210.63</v>
      </c>
      <c r="T110">
        <v>210.63</v>
      </c>
      <c r="U110" s="233">
        <v>460.16</v>
      </c>
      <c r="V110">
        <v>0</v>
      </c>
      <c r="W110">
        <v>460.16</v>
      </c>
      <c r="X110">
        <v>0</v>
      </c>
      <c r="Y110">
        <v>0</v>
      </c>
    </row>
    <row r="111" spans="1:25" x14ac:dyDescent="0.25">
      <c r="A111" t="s">
        <v>983</v>
      </c>
      <c r="B111" t="s">
        <v>1165</v>
      </c>
      <c r="C111" t="s">
        <v>1098</v>
      </c>
      <c r="D111" t="s">
        <v>1090</v>
      </c>
      <c r="E111">
        <v>324706</v>
      </c>
      <c r="F111">
        <v>300352</v>
      </c>
      <c r="G111">
        <v>276000</v>
      </c>
      <c r="H111">
        <v>24352</v>
      </c>
      <c r="I111" s="237">
        <v>24354</v>
      </c>
      <c r="J111" s="235">
        <v>0</v>
      </c>
      <c r="K111">
        <v>24354</v>
      </c>
      <c r="L111">
        <v>0</v>
      </c>
      <c r="M111">
        <v>0</v>
      </c>
      <c r="O111">
        <v>101310.2</v>
      </c>
      <c r="P111">
        <v>101310.2</v>
      </c>
      <c r="Q111">
        <v>100469.82</v>
      </c>
      <c r="R111" s="230">
        <v>92323.91</v>
      </c>
      <c r="S111" s="232">
        <v>8145.91</v>
      </c>
      <c r="T111">
        <v>840.31</v>
      </c>
      <c r="U111" s="233">
        <v>840.38</v>
      </c>
      <c r="V111">
        <v>0</v>
      </c>
      <c r="W111">
        <v>840.38</v>
      </c>
      <c r="X111">
        <v>0</v>
      </c>
      <c r="Y111">
        <v>0</v>
      </c>
    </row>
    <row r="112" spans="1:25" x14ac:dyDescent="0.25">
      <c r="A112" t="s">
        <v>985</v>
      </c>
      <c r="B112" t="s">
        <v>1166</v>
      </c>
      <c r="C112" t="s">
        <v>1102</v>
      </c>
      <c r="D112" t="s">
        <v>1090</v>
      </c>
      <c r="E112">
        <v>358491.09</v>
      </c>
      <c r="F112">
        <v>296439.65000000002</v>
      </c>
      <c r="G112">
        <v>272404</v>
      </c>
      <c r="H112">
        <v>24035.65</v>
      </c>
      <c r="I112" s="237">
        <v>62051.44</v>
      </c>
      <c r="J112" s="235">
        <v>0</v>
      </c>
      <c r="K112">
        <v>62051.44</v>
      </c>
      <c r="L112">
        <v>0</v>
      </c>
      <c r="M112">
        <v>0</v>
      </c>
      <c r="O112">
        <v>311169.28999999998</v>
      </c>
      <c r="P112">
        <v>311169.28999999998</v>
      </c>
      <c r="Q112">
        <v>215587.25</v>
      </c>
      <c r="R112" s="230">
        <v>198107.2</v>
      </c>
      <c r="S112" s="232">
        <v>17480.05</v>
      </c>
      <c r="T112">
        <v>14902.43</v>
      </c>
      <c r="U112" s="233">
        <v>38472.730000000003</v>
      </c>
      <c r="V112">
        <v>0</v>
      </c>
      <c r="W112">
        <v>38472.730000000003</v>
      </c>
      <c r="X112">
        <v>0</v>
      </c>
      <c r="Y112">
        <v>0</v>
      </c>
    </row>
    <row r="113" spans="1:25" x14ac:dyDescent="0.25">
      <c r="A113" t="s">
        <v>986</v>
      </c>
      <c r="B113" t="s">
        <v>1167</v>
      </c>
      <c r="C113" t="s">
        <v>1098</v>
      </c>
      <c r="D113" t="s">
        <v>1090</v>
      </c>
      <c r="E113">
        <v>320628</v>
      </c>
      <c r="F113">
        <v>272533</v>
      </c>
      <c r="G113">
        <v>272533</v>
      </c>
      <c r="H113">
        <v>0</v>
      </c>
      <c r="I113" s="237">
        <v>48095</v>
      </c>
      <c r="J113" s="235">
        <v>0</v>
      </c>
      <c r="K113">
        <v>48095</v>
      </c>
      <c r="L113">
        <v>0</v>
      </c>
      <c r="M113">
        <v>0</v>
      </c>
      <c r="O113">
        <v>90567.73</v>
      </c>
      <c r="P113">
        <v>90567.73</v>
      </c>
      <c r="Q113">
        <v>89246.53</v>
      </c>
      <c r="R113" s="230">
        <v>89246.53</v>
      </c>
      <c r="S113" s="232">
        <v>0</v>
      </c>
      <c r="T113">
        <v>0</v>
      </c>
      <c r="U113" s="233">
        <v>1321.2</v>
      </c>
      <c r="V113">
        <v>0</v>
      </c>
      <c r="W113">
        <v>1321.2</v>
      </c>
      <c r="X113">
        <v>0</v>
      </c>
      <c r="Y113">
        <v>0</v>
      </c>
    </row>
    <row r="114" spans="1:25" x14ac:dyDescent="0.25">
      <c r="A114" t="s">
        <v>987</v>
      </c>
      <c r="B114" t="s">
        <v>487</v>
      </c>
      <c r="C114" t="s">
        <v>1092</v>
      </c>
      <c r="D114" t="s">
        <v>1090</v>
      </c>
      <c r="E114">
        <v>1346002.9</v>
      </c>
      <c r="F114">
        <v>1132178</v>
      </c>
      <c r="G114">
        <v>1132178</v>
      </c>
      <c r="H114">
        <v>0</v>
      </c>
      <c r="I114" s="237">
        <v>213824.9</v>
      </c>
      <c r="J114" s="235">
        <v>0</v>
      </c>
      <c r="K114">
        <v>213824.9</v>
      </c>
      <c r="L114">
        <v>0</v>
      </c>
      <c r="M114">
        <v>0</v>
      </c>
      <c r="O114">
        <v>113314.18</v>
      </c>
      <c r="P114">
        <v>113314.18</v>
      </c>
      <c r="Q114">
        <v>109610.51</v>
      </c>
      <c r="R114" s="230">
        <v>109610.51</v>
      </c>
      <c r="S114" s="232">
        <v>0</v>
      </c>
      <c r="T114">
        <v>0</v>
      </c>
      <c r="U114" s="233">
        <v>3703.67</v>
      </c>
      <c r="V114">
        <v>0</v>
      </c>
      <c r="W114">
        <v>3703.67</v>
      </c>
      <c r="X114">
        <v>0</v>
      </c>
      <c r="Y114">
        <v>0</v>
      </c>
    </row>
    <row r="115" spans="1:25" x14ac:dyDescent="0.25">
      <c r="A115" t="s">
        <v>1023</v>
      </c>
      <c r="B115" t="s">
        <v>1168</v>
      </c>
      <c r="C115" t="s">
        <v>1097</v>
      </c>
      <c r="D115" t="s">
        <v>1090</v>
      </c>
      <c r="E115">
        <v>188236</v>
      </c>
      <c r="F115">
        <v>160000</v>
      </c>
      <c r="G115">
        <v>160000</v>
      </c>
      <c r="H115">
        <v>0</v>
      </c>
      <c r="I115" s="237">
        <v>28236</v>
      </c>
      <c r="J115" s="235">
        <v>0</v>
      </c>
      <c r="K115">
        <v>28236</v>
      </c>
      <c r="L115">
        <v>0</v>
      </c>
      <c r="M115">
        <v>0</v>
      </c>
      <c r="O115">
        <v>12319.27</v>
      </c>
      <c r="P115">
        <v>12319.27</v>
      </c>
      <c r="Q115">
        <v>11010.52</v>
      </c>
      <c r="R115" s="230">
        <v>11010.52</v>
      </c>
      <c r="S115" s="232">
        <v>0</v>
      </c>
      <c r="T115">
        <v>0</v>
      </c>
      <c r="U115" s="233">
        <v>1308.75</v>
      </c>
      <c r="V115">
        <v>0</v>
      </c>
      <c r="W115">
        <v>1308.75</v>
      </c>
      <c r="X115">
        <v>0</v>
      </c>
      <c r="Y115">
        <v>0</v>
      </c>
    </row>
    <row r="116" spans="1:25" x14ac:dyDescent="0.25">
      <c r="A116" t="s">
        <v>1025</v>
      </c>
      <c r="B116" t="s">
        <v>675</v>
      </c>
      <c r="C116" t="s">
        <v>1092</v>
      </c>
      <c r="D116" t="s">
        <v>1090</v>
      </c>
      <c r="E116">
        <v>154414.51999999999</v>
      </c>
      <c r="F116">
        <v>131252.34</v>
      </c>
      <c r="G116">
        <v>131252.34</v>
      </c>
      <c r="H116">
        <v>0</v>
      </c>
      <c r="I116" s="237">
        <v>23162.18</v>
      </c>
      <c r="J116" s="235">
        <v>0</v>
      </c>
      <c r="K116">
        <v>23162.18</v>
      </c>
      <c r="L116">
        <v>0</v>
      </c>
      <c r="M116">
        <v>0</v>
      </c>
      <c r="O116">
        <v>129962.21</v>
      </c>
      <c r="P116">
        <v>129962.21</v>
      </c>
      <c r="Q116">
        <v>115717.88</v>
      </c>
      <c r="R116" s="230">
        <v>115717.88</v>
      </c>
      <c r="S116" s="232">
        <v>0</v>
      </c>
      <c r="T116">
        <v>0</v>
      </c>
      <c r="U116" s="233">
        <v>14244.33</v>
      </c>
      <c r="V116">
        <v>0</v>
      </c>
      <c r="W116">
        <v>14244.33</v>
      </c>
      <c r="X116">
        <v>0</v>
      </c>
      <c r="Y116">
        <v>0</v>
      </c>
    </row>
    <row r="117" spans="1:25" x14ac:dyDescent="0.25">
      <c r="A117" t="s">
        <v>1026</v>
      </c>
      <c r="B117" t="s">
        <v>678</v>
      </c>
      <c r="C117" t="s">
        <v>1169</v>
      </c>
      <c r="D117" t="s">
        <v>1090</v>
      </c>
      <c r="E117">
        <v>116373.51</v>
      </c>
      <c r="F117">
        <v>98844.35</v>
      </c>
      <c r="G117">
        <v>98844.35</v>
      </c>
      <c r="H117">
        <v>0</v>
      </c>
      <c r="I117" s="237">
        <v>17529.16</v>
      </c>
      <c r="J117" s="235">
        <v>0</v>
      </c>
      <c r="K117">
        <v>17529.16</v>
      </c>
      <c r="L117">
        <v>0</v>
      </c>
      <c r="M117">
        <v>0</v>
      </c>
      <c r="O117">
        <v>66635.92</v>
      </c>
      <c r="P117">
        <v>66635.92</v>
      </c>
      <c r="Q117">
        <v>56598.66</v>
      </c>
      <c r="R117" s="230">
        <v>56598.66</v>
      </c>
      <c r="S117" s="232">
        <v>0</v>
      </c>
      <c r="T117">
        <v>0</v>
      </c>
      <c r="U117" s="233">
        <v>10037.26</v>
      </c>
      <c r="V117">
        <v>0</v>
      </c>
      <c r="W117">
        <v>10037.26</v>
      </c>
      <c r="X117">
        <v>0</v>
      </c>
      <c r="Y117">
        <v>0</v>
      </c>
    </row>
    <row r="118" spans="1:25" x14ac:dyDescent="0.25">
      <c r="A118" t="s">
        <v>1024</v>
      </c>
      <c r="B118" t="s">
        <v>672</v>
      </c>
      <c r="C118" t="s">
        <v>1089</v>
      </c>
      <c r="D118" t="s">
        <v>1090</v>
      </c>
      <c r="E118">
        <v>186665</v>
      </c>
      <c r="F118">
        <v>158665</v>
      </c>
      <c r="G118">
        <v>158665</v>
      </c>
      <c r="H118">
        <v>0</v>
      </c>
      <c r="I118" s="237">
        <v>28000</v>
      </c>
      <c r="J118" s="235">
        <v>0</v>
      </c>
      <c r="K118">
        <v>28000</v>
      </c>
      <c r="L118">
        <v>0</v>
      </c>
      <c r="M118">
        <v>0</v>
      </c>
      <c r="O118">
        <v>26151.55</v>
      </c>
      <c r="P118">
        <v>26151.55</v>
      </c>
      <c r="Q118">
        <v>23115.14</v>
      </c>
      <c r="R118" s="230">
        <v>23115.14</v>
      </c>
      <c r="S118" s="232">
        <v>0</v>
      </c>
      <c r="T118">
        <v>0</v>
      </c>
      <c r="U118" s="233">
        <v>3036.41</v>
      </c>
      <c r="V118">
        <v>0</v>
      </c>
      <c r="W118">
        <v>3036.41</v>
      </c>
      <c r="X118">
        <v>0</v>
      </c>
      <c r="Y118">
        <v>0</v>
      </c>
    </row>
    <row r="119" spans="1:25" x14ac:dyDescent="0.25">
      <c r="A119" t="s">
        <v>1027</v>
      </c>
      <c r="B119" t="s">
        <v>683</v>
      </c>
      <c r="C119" t="s">
        <v>1098</v>
      </c>
      <c r="D119" t="s">
        <v>1090</v>
      </c>
      <c r="E119">
        <v>176470.59</v>
      </c>
      <c r="F119">
        <v>150000</v>
      </c>
      <c r="G119">
        <v>150000</v>
      </c>
      <c r="H119">
        <v>0</v>
      </c>
      <c r="I119" s="237">
        <v>26470.59</v>
      </c>
      <c r="J119" s="235">
        <v>0</v>
      </c>
      <c r="K119">
        <v>26470.59</v>
      </c>
      <c r="L119">
        <v>0</v>
      </c>
      <c r="M119">
        <v>0</v>
      </c>
      <c r="O119">
        <v>51432.97</v>
      </c>
      <c r="P119">
        <v>51432.97</v>
      </c>
      <c r="Q119">
        <v>20468.02</v>
      </c>
      <c r="R119" s="230">
        <v>20468.02</v>
      </c>
      <c r="S119" s="232">
        <v>0</v>
      </c>
      <c r="T119">
        <v>0</v>
      </c>
      <c r="U119" s="233">
        <v>964.95</v>
      </c>
      <c r="V119">
        <v>0</v>
      </c>
      <c r="W119">
        <v>964.95</v>
      </c>
      <c r="X119">
        <v>0</v>
      </c>
      <c r="Y119">
        <v>0</v>
      </c>
    </row>
    <row r="120" spans="1:25" x14ac:dyDescent="0.25">
      <c r="A120" t="s">
        <v>1027</v>
      </c>
      <c r="B120" t="s">
        <v>683</v>
      </c>
      <c r="C120" t="s">
        <v>1098</v>
      </c>
      <c r="D120" t="s">
        <v>1090</v>
      </c>
      <c r="N120" t="s">
        <v>1100</v>
      </c>
      <c r="O120">
        <v>0</v>
      </c>
      <c r="P120">
        <v>0</v>
      </c>
      <c r="Q120">
        <v>0</v>
      </c>
      <c r="R120" s="230">
        <v>0</v>
      </c>
      <c r="S120" s="232">
        <v>0</v>
      </c>
      <c r="T120">
        <v>0</v>
      </c>
      <c r="U120" s="233">
        <v>0</v>
      </c>
      <c r="V120">
        <v>0</v>
      </c>
      <c r="W120">
        <v>0</v>
      </c>
      <c r="X120">
        <v>0</v>
      </c>
      <c r="Y120">
        <v>0</v>
      </c>
    </row>
    <row r="121" spans="1:25" x14ac:dyDescent="0.25">
      <c r="A121" t="s">
        <v>1027</v>
      </c>
      <c r="B121" t="s">
        <v>683</v>
      </c>
      <c r="C121" t="s">
        <v>1098</v>
      </c>
      <c r="D121" t="s">
        <v>1090</v>
      </c>
      <c r="N121" t="s">
        <v>1100</v>
      </c>
      <c r="O121">
        <v>0</v>
      </c>
      <c r="P121">
        <v>0</v>
      </c>
      <c r="Q121">
        <v>-30000</v>
      </c>
      <c r="R121" s="230">
        <v>-30000</v>
      </c>
      <c r="S121" s="232">
        <v>0</v>
      </c>
      <c r="T121">
        <v>0</v>
      </c>
      <c r="U121" s="233">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219"/>
  <sheetViews>
    <sheetView topLeftCell="A34" zoomScaleNormal="100" workbookViewId="0">
      <selection activeCell="A36" sqref="A36:XFD36"/>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869</v>
      </c>
      <c r="AJ3" s="3"/>
    </row>
    <row r="4" spans="2:37" ht="15.75" x14ac:dyDescent="0.25">
      <c r="AB4" s="3"/>
      <c r="AD4" s="3"/>
      <c r="AE4" s="3"/>
      <c r="AF4" s="3"/>
      <c r="AJ4" s="3"/>
    </row>
    <row r="5" spans="2:37" ht="15.75" x14ac:dyDescent="0.25">
      <c r="B5" s="110" t="s">
        <v>870</v>
      </c>
      <c r="AB5" s="3"/>
      <c r="AD5" s="3"/>
      <c r="AE5" s="3"/>
      <c r="AJ5" s="3"/>
    </row>
    <row r="6" spans="2:37" ht="15.75" customHeight="1" x14ac:dyDescent="0.25">
      <c r="B6" s="110" t="s">
        <v>896</v>
      </c>
      <c r="C6" s="5"/>
    </row>
    <row r="7" spans="2:37" ht="32.25" customHeight="1" thickBot="1" x14ac:dyDescent="0.3">
      <c r="B7" s="366" t="s">
        <v>19</v>
      </c>
      <c r="C7" s="364" t="s">
        <v>17</v>
      </c>
      <c r="D7" s="366" t="s">
        <v>14</v>
      </c>
      <c r="E7" s="364" t="s">
        <v>875</v>
      </c>
      <c r="F7" s="364" t="s">
        <v>897</v>
      </c>
      <c r="G7" s="388" t="s">
        <v>898</v>
      </c>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row>
    <row r="8" spans="2:37" ht="60.75" customHeight="1" thickBot="1" x14ac:dyDescent="0.3">
      <c r="B8" s="366"/>
      <c r="C8" s="365"/>
      <c r="D8" s="367"/>
      <c r="E8" s="386"/>
      <c r="F8" s="387"/>
      <c r="G8" s="111" t="s">
        <v>899</v>
      </c>
      <c r="H8" s="112" t="s">
        <v>20</v>
      </c>
      <c r="I8" s="113" t="s">
        <v>900</v>
      </c>
      <c r="J8" s="113" t="s">
        <v>901</v>
      </c>
      <c r="K8" s="114" t="s">
        <v>902</v>
      </c>
      <c r="L8" s="111" t="s">
        <v>903</v>
      </c>
      <c r="M8" s="112" t="s">
        <v>21</v>
      </c>
      <c r="N8" s="113" t="s">
        <v>904</v>
      </c>
      <c r="O8" s="113" t="s">
        <v>905</v>
      </c>
      <c r="P8" s="114" t="s">
        <v>906</v>
      </c>
      <c r="Q8" s="111" t="s">
        <v>907</v>
      </c>
      <c r="R8" s="112" t="s">
        <v>22</v>
      </c>
      <c r="S8" s="113" t="s">
        <v>908</v>
      </c>
      <c r="T8" s="113" t="s">
        <v>909</v>
      </c>
      <c r="U8" s="114" t="s">
        <v>910</v>
      </c>
      <c r="V8" s="111" t="s">
        <v>911</v>
      </c>
      <c r="W8" s="112" t="s">
        <v>23</v>
      </c>
      <c r="X8" s="113" t="s">
        <v>912</v>
      </c>
      <c r="Y8" s="113" t="s">
        <v>913</v>
      </c>
      <c r="Z8" s="114" t="s">
        <v>914</v>
      </c>
      <c r="AA8" s="111" t="s">
        <v>915</v>
      </c>
      <c r="AB8" s="112" t="s">
        <v>24</v>
      </c>
      <c r="AC8" s="113" t="s">
        <v>916</v>
      </c>
      <c r="AD8" s="113" t="s">
        <v>917</v>
      </c>
      <c r="AE8" s="114" t="s">
        <v>918</v>
      </c>
      <c r="AF8" s="111" t="s">
        <v>919</v>
      </c>
      <c r="AG8" s="112" t="s">
        <v>25</v>
      </c>
      <c r="AH8" s="113" t="s">
        <v>920</v>
      </c>
      <c r="AI8" s="113" t="s">
        <v>921</v>
      </c>
      <c r="AJ8" s="114" t="s">
        <v>922</v>
      </c>
    </row>
    <row r="9" spans="2:37" ht="63.75" x14ac:dyDescent="0.25">
      <c r="B9" s="21" t="s">
        <v>0</v>
      </c>
      <c r="C9" s="21"/>
      <c r="D9" s="21" t="s">
        <v>50</v>
      </c>
      <c r="E9" s="21"/>
      <c r="F9" s="115"/>
      <c r="G9" s="116"/>
      <c r="H9" s="117"/>
      <c r="I9" s="117"/>
      <c r="J9" s="117"/>
      <c r="K9" s="118"/>
      <c r="L9" s="116"/>
      <c r="M9" s="117"/>
      <c r="N9" s="117"/>
      <c r="O9" s="117"/>
      <c r="P9" s="118"/>
      <c r="Q9" s="116"/>
      <c r="R9" s="117"/>
      <c r="S9" s="117"/>
      <c r="T9" s="117"/>
      <c r="U9" s="118"/>
      <c r="V9" s="119"/>
      <c r="W9" s="120"/>
      <c r="X9" s="117"/>
      <c r="Y9" s="117"/>
      <c r="Z9" s="118"/>
      <c r="AA9" s="116"/>
      <c r="AB9" s="117"/>
      <c r="AC9" s="117"/>
      <c r="AD9" s="117"/>
      <c r="AE9" s="118"/>
      <c r="AF9" s="116"/>
      <c r="AG9" s="117"/>
      <c r="AH9" s="117"/>
      <c r="AI9" s="117"/>
      <c r="AJ9" s="118" t="s">
        <v>220</v>
      </c>
      <c r="AK9" s="6"/>
    </row>
    <row r="10" spans="2:37" ht="191.25" customHeight="1" x14ac:dyDescent="0.25">
      <c r="B10" s="23" t="s">
        <v>51</v>
      </c>
      <c r="C10" s="24"/>
      <c r="D10" s="23" t="s">
        <v>52</v>
      </c>
      <c r="E10" s="23"/>
      <c r="F10" s="121"/>
      <c r="G10" s="122"/>
      <c r="H10" s="23"/>
      <c r="I10" s="23"/>
      <c r="J10" s="23"/>
      <c r="K10" s="123"/>
      <c r="L10" s="122"/>
      <c r="M10" s="23"/>
      <c r="N10" s="23"/>
      <c r="O10" s="23"/>
      <c r="P10" s="123"/>
      <c r="Q10" s="122"/>
      <c r="R10" s="23"/>
      <c r="S10" s="23"/>
      <c r="T10" s="23"/>
      <c r="U10" s="123"/>
      <c r="V10" s="122"/>
      <c r="W10" s="23"/>
      <c r="X10" s="23"/>
      <c r="Y10" s="23"/>
      <c r="Z10" s="123"/>
      <c r="AA10" s="122"/>
      <c r="AB10" s="23"/>
      <c r="AC10" s="23"/>
      <c r="AD10" s="23"/>
      <c r="AE10" s="123"/>
      <c r="AF10" s="122"/>
      <c r="AG10" s="23"/>
      <c r="AH10" s="23"/>
      <c r="AI10" s="23"/>
      <c r="AJ10" s="123"/>
      <c r="AK10" s="6"/>
    </row>
    <row r="11" spans="2:37" ht="127.5" customHeight="1" x14ac:dyDescent="0.25">
      <c r="B11" s="25" t="s">
        <v>53</v>
      </c>
      <c r="C11" s="26"/>
      <c r="D11" s="26" t="s">
        <v>54</v>
      </c>
      <c r="E11" s="25"/>
      <c r="F11" s="124"/>
      <c r="G11" s="125"/>
      <c r="H11" s="26"/>
      <c r="I11" s="25"/>
      <c r="J11" s="25"/>
      <c r="K11" s="126"/>
      <c r="L11" s="125"/>
      <c r="M11" s="26"/>
      <c r="N11" s="26"/>
      <c r="O11" s="26"/>
      <c r="P11" s="127"/>
      <c r="Q11" s="128"/>
      <c r="R11" s="26"/>
      <c r="S11" s="26"/>
      <c r="T11" s="26"/>
      <c r="U11" s="127"/>
      <c r="V11" s="125"/>
      <c r="W11" s="25"/>
      <c r="X11" s="26"/>
      <c r="Y11" s="26"/>
      <c r="Z11" s="127"/>
      <c r="AA11" s="125"/>
      <c r="AB11" s="26"/>
      <c r="AC11" s="25"/>
      <c r="AD11" s="25"/>
      <c r="AE11" s="126"/>
      <c r="AF11" s="125"/>
      <c r="AG11" s="26"/>
      <c r="AH11" s="26"/>
      <c r="AI11" s="26"/>
      <c r="AJ11" s="127"/>
      <c r="AK11" s="6"/>
    </row>
    <row r="12" spans="2:37" ht="56.25" customHeight="1" x14ac:dyDescent="0.25">
      <c r="B12" s="27" t="s">
        <v>55</v>
      </c>
      <c r="C12" s="27"/>
      <c r="D12" s="89" t="s">
        <v>56</v>
      </c>
      <c r="E12" s="27"/>
      <c r="F12" s="129"/>
      <c r="G12" s="130"/>
      <c r="H12" s="27"/>
      <c r="I12" s="27"/>
      <c r="J12" s="27"/>
      <c r="K12" s="131"/>
      <c r="L12" s="130"/>
      <c r="M12" s="27"/>
      <c r="N12" s="27"/>
      <c r="O12" s="27"/>
      <c r="P12" s="131"/>
      <c r="Q12" s="130"/>
      <c r="R12" s="27"/>
      <c r="S12" s="27"/>
      <c r="T12" s="27"/>
      <c r="U12" s="131"/>
      <c r="V12" s="130"/>
      <c r="W12" s="27"/>
      <c r="X12" s="27"/>
      <c r="Y12" s="27"/>
      <c r="Z12" s="131"/>
      <c r="AA12" s="130"/>
      <c r="AB12" s="27"/>
      <c r="AC12" s="27"/>
      <c r="AD12" s="27"/>
      <c r="AE12" s="131"/>
      <c r="AF12" s="130"/>
      <c r="AG12" s="27"/>
      <c r="AH12" s="27"/>
      <c r="AI12" s="27"/>
      <c r="AJ12" s="131"/>
      <c r="AK12" s="6"/>
    </row>
    <row r="13" spans="2:37" ht="93" customHeight="1" x14ac:dyDescent="0.25">
      <c r="B13" s="35" t="str">
        <f>'1 lentelė'!$B13</f>
        <v>1.1.1.1.1</v>
      </c>
      <c r="C13" s="35" t="str">
        <f>'1 lentelė'!$C13</f>
        <v>R099905-342900-1101</v>
      </c>
      <c r="D13" s="35" t="str">
        <f>'1 lentelė'!$D13</f>
        <v>Anykščių miesto viešųjų erdvių sistemos pertvarkymas (I etapas)</v>
      </c>
      <c r="E13" s="29" t="s">
        <v>65</v>
      </c>
      <c r="F13" s="132" t="s">
        <v>923</v>
      </c>
      <c r="G13" s="133" t="str">
        <f>'2 lentelė'!$E13</f>
        <v>P.B.238</v>
      </c>
      <c r="H13" s="32" t="str">
        <f>'2 lentelė'!$F13</f>
        <v xml:space="preserve">Sukurtos arba atnaujintos atviros erdvės miestų vietovėse, m2 </v>
      </c>
      <c r="I13" s="32">
        <f>'2 lentelė'!$G13</f>
        <v>6826.23</v>
      </c>
      <c r="J13" s="31" t="s">
        <v>924</v>
      </c>
      <c r="K13" s="134">
        <v>0</v>
      </c>
      <c r="L13" s="133" t="str">
        <f>'2 lentelė'!$H13</f>
        <v>P.B.239</v>
      </c>
      <c r="M13" s="32" t="str">
        <f>'2 lentelė'!$I13</f>
        <v xml:space="preserve">Pastatyti arba atnaujinti viešieji arba komerciniai pastatai miestų vietovėse, m2 </v>
      </c>
      <c r="N13" s="32">
        <f>'2 lentelė'!$J13</f>
        <v>844.65</v>
      </c>
      <c r="O13" s="31" t="s">
        <v>925</v>
      </c>
      <c r="P13" s="134">
        <v>0</v>
      </c>
      <c r="Q13" s="135"/>
      <c r="R13" s="29"/>
      <c r="S13" s="29"/>
      <c r="T13" s="29"/>
      <c r="U13" s="136"/>
      <c r="V13" s="137"/>
      <c r="W13" s="37"/>
      <c r="X13" s="29"/>
      <c r="Y13" s="29"/>
      <c r="Z13" s="136"/>
      <c r="AA13" s="138"/>
      <c r="AB13" s="54"/>
      <c r="AC13" s="54"/>
      <c r="AD13" s="54"/>
      <c r="AE13" s="139"/>
      <c r="AF13" s="138"/>
      <c r="AG13" s="54"/>
      <c r="AH13" s="54"/>
      <c r="AI13" s="54"/>
      <c r="AJ13" s="139"/>
      <c r="AK13" s="6"/>
    </row>
    <row r="14" spans="2:37" ht="69.75" customHeight="1" x14ac:dyDescent="0.25">
      <c r="B14" s="35" t="str">
        <f>'1 lentelė'!$B14</f>
        <v>1.1.1.1.2</v>
      </c>
      <c r="C14" s="35" t="str">
        <f>'1 lentelė'!$C14</f>
        <v>R099905-280000-1102</v>
      </c>
      <c r="D14" s="35" t="str">
        <f>'1 lentelė'!$D14</f>
        <v xml:space="preserve">Anykščių miesto viešųjų erdvių sistemos pertvarkymas (II etapas) </v>
      </c>
      <c r="E14" s="29" t="s">
        <v>65</v>
      </c>
      <c r="F14" s="132" t="s">
        <v>926</v>
      </c>
      <c r="G14" s="133" t="str">
        <f>'2 lentelė'!$E14</f>
        <v>P.B.238</v>
      </c>
      <c r="H14" s="32" t="str">
        <f>'2 lentelė'!$F14</f>
        <v xml:space="preserve">Sukurtos arba atnaujintos atviros erdvės miestų vietovėse, m2 </v>
      </c>
      <c r="I14" s="32">
        <f>'2 lentelė'!G14</f>
        <v>5766</v>
      </c>
      <c r="J14" s="32">
        <v>5766</v>
      </c>
      <c r="K14" s="134">
        <v>0</v>
      </c>
      <c r="L14" s="133"/>
      <c r="M14" s="32"/>
      <c r="N14" s="32"/>
      <c r="O14" s="32"/>
      <c r="P14" s="134"/>
      <c r="Q14" s="135"/>
      <c r="R14" s="29"/>
      <c r="S14" s="29"/>
      <c r="T14" s="29"/>
      <c r="U14" s="136"/>
      <c r="V14" s="137"/>
      <c r="W14" s="37"/>
      <c r="X14" s="29"/>
      <c r="Y14" s="29"/>
      <c r="Z14" s="136"/>
      <c r="AA14" s="138"/>
      <c r="AB14" s="54"/>
      <c r="AC14" s="54"/>
      <c r="AD14" s="54"/>
      <c r="AE14" s="139"/>
      <c r="AF14" s="138"/>
      <c r="AG14" s="54"/>
      <c r="AH14" s="54"/>
      <c r="AI14" s="74"/>
      <c r="AJ14" s="140"/>
      <c r="AK14" s="6"/>
    </row>
    <row r="15" spans="2:37"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32" t="s">
        <v>65</v>
      </c>
      <c r="F15" s="132" t="s">
        <v>927</v>
      </c>
      <c r="G15" s="133" t="str">
        <f>'2 lentelė'!$E15</f>
        <v>P.B.238</v>
      </c>
      <c r="H15" s="32" t="str">
        <f>'2 lentelė'!$F15</f>
        <v xml:space="preserve">Sukurtos arba atnaujintos atviros erdvės miestų vietovėse, m2 </v>
      </c>
      <c r="I15" s="32">
        <f>'2 lentelė'!G15</f>
        <v>98827</v>
      </c>
      <c r="J15" s="31">
        <v>98869</v>
      </c>
      <c r="K15" s="31">
        <v>98827</v>
      </c>
      <c r="L15" s="133"/>
      <c r="M15" s="32"/>
      <c r="N15" s="32"/>
      <c r="O15" s="32"/>
      <c r="P15" s="134"/>
      <c r="Q15" s="135"/>
      <c r="R15" s="29"/>
      <c r="S15" s="29"/>
      <c r="T15" s="29"/>
      <c r="U15" s="136"/>
      <c r="V15" s="137"/>
      <c r="W15" s="37"/>
      <c r="X15" s="29"/>
      <c r="Y15" s="29"/>
      <c r="Z15" s="136"/>
      <c r="AA15" s="138"/>
      <c r="AB15" s="54"/>
      <c r="AC15" s="54"/>
      <c r="AD15" s="54"/>
      <c r="AE15" s="139"/>
      <c r="AF15" s="138"/>
      <c r="AG15" s="54"/>
      <c r="AH15" s="54"/>
      <c r="AI15" s="74"/>
      <c r="AJ15" s="140"/>
      <c r="AK15" s="6"/>
    </row>
    <row r="16" spans="2:37" ht="71.2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29" t="s">
        <v>30</v>
      </c>
      <c r="F16" s="132"/>
      <c r="G16" s="133" t="str">
        <f>'2 lentelė'!$E16</f>
        <v>P.B.238</v>
      </c>
      <c r="H16" s="32" t="str">
        <f>'2 lentelė'!$F16</f>
        <v xml:space="preserve">Sukurtos arba atnaujintos atviros erdvės miestų vietovėse, m2 </v>
      </c>
      <c r="I16" s="32">
        <f>'2 lentelė'!$G16</f>
        <v>22620.5</v>
      </c>
      <c r="J16" s="32">
        <v>0</v>
      </c>
      <c r="K16" s="134">
        <v>0</v>
      </c>
      <c r="L16" s="133"/>
      <c r="M16" s="32"/>
      <c r="N16" s="32"/>
      <c r="O16" s="32"/>
      <c r="P16" s="134"/>
      <c r="Q16" s="135"/>
      <c r="R16" s="29"/>
      <c r="S16" s="29"/>
      <c r="T16" s="29"/>
      <c r="U16" s="136"/>
      <c r="V16" s="137"/>
      <c r="W16" s="37"/>
      <c r="X16" s="29"/>
      <c r="Y16" s="29"/>
      <c r="Z16" s="136"/>
      <c r="AA16" s="138"/>
      <c r="AB16" s="54"/>
      <c r="AC16" s="54"/>
      <c r="AD16" s="54"/>
      <c r="AE16" s="139"/>
      <c r="AF16" s="138"/>
      <c r="AG16" s="54"/>
      <c r="AH16" s="54"/>
      <c r="AI16" s="74"/>
      <c r="AJ16" s="141"/>
      <c r="AK16" s="6"/>
    </row>
    <row r="17" spans="2:37" ht="112.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29" t="s">
        <v>65</v>
      </c>
      <c r="F17" s="132" t="s">
        <v>928</v>
      </c>
      <c r="G17" s="133" t="str">
        <f>'2 lentelė'!$E17</f>
        <v>P.B.238</v>
      </c>
      <c r="H17" s="32" t="str">
        <f>'2 lentelė'!$F17</f>
        <v>Sukurtos arba atnaujintos atviros erdvės miestų vietovėse, m2</v>
      </c>
      <c r="I17" s="32">
        <f>'2 lentelė'!G17</f>
        <v>78609</v>
      </c>
      <c r="J17" s="32">
        <v>101439</v>
      </c>
      <c r="K17" s="32">
        <v>78609</v>
      </c>
      <c r="L17" s="133"/>
      <c r="M17" s="32"/>
      <c r="N17" s="32"/>
      <c r="O17" s="32"/>
      <c r="P17" s="134"/>
      <c r="Q17" s="135"/>
      <c r="R17" s="29"/>
      <c r="S17" s="29"/>
      <c r="T17" s="29"/>
      <c r="U17" s="136"/>
      <c r="V17" s="137"/>
      <c r="W17" s="37"/>
      <c r="X17" s="29"/>
      <c r="Y17" s="29"/>
      <c r="Z17" s="136"/>
      <c r="AA17" s="138"/>
      <c r="AB17" s="54"/>
      <c r="AC17" s="54"/>
      <c r="AD17" s="54"/>
      <c r="AE17" s="139"/>
      <c r="AF17" s="138"/>
      <c r="AG17" s="54"/>
      <c r="AH17" s="54"/>
      <c r="AI17" s="74"/>
      <c r="AJ17" s="140"/>
      <c r="AK17" s="6"/>
    </row>
    <row r="18" spans="2:37" ht="67.5" customHeight="1" x14ac:dyDescent="0.25">
      <c r="B18" s="35" t="str">
        <f>'1 lentelė'!$B18</f>
        <v>1.1.1.1.6</v>
      </c>
      <c r="C18" s="35" t="str">
        <f>'1 lentelė'!$C18</f>
        <v>R099905-302900-1106</v>
      </c>
      <c r="D18" s="35" t="str">
        <f>'1 lentelė'!$D18</f>
        <v>Molėtų miesto centrinės dalies kompleksinis sutvarkymas (II etapas)</v>
      </c>
      <c r="E18" s="32" t="s">
        <v>65</v>
      </c>
      <c r="F18" s="132" t="s">
        <v>929</v>
      </c>
      <c r="G18" s="133" t="str">
        <f>'2 lentelė'!$E18</f>
        <v>P.B.238</v>
      </c>
      <c r="H18" s="32" t="str">
        <f>'2 lentelė'!$F18</f>
        <v>Sukurtos arba atnaujintos atviros erdvės miestų vietovėse, m2</v>
      </c>
      <c r="I18" s="32">
        <f>'2 lentelė'!$G18</f>
        <v>4426.5</v>
      </c>
      <c r="J18" s="32">
        <v>4426.5</v>
      </c>
      <c r="K18" s="134">
        <v>0</v>
      </c>
      <c r="L18" s="133"/>
      <c r="M18" s="32"/>
      <c r="N18" s="32"/>
      <c r="O18" s="32"/>
      <c r="P18" s="134"/>
      <c r="Q18" s="135"/>
      <c r="R18" s="29"/>
      <c r="S18" s="29"/>
      <c r="T18" s="29"/>
      <c r="U18" s="136"/>
      <c r="V18" s="137"/>
      <c r="W18" s="37"/>
      <c r="X18" s="29"/>
      <c r="Y18" s="29"/>
      <c r="Z18" s="136"/>
      <c r="AA18" s="138"/>
      <c r="AB18" s="54"/>
      <c r="AC18" s="54"/>
      <c r="AD18" s="54"/>
      <c r="AE18" s="139"/>
      <c r="AF18" s="138"/>
      <c r="AG18" s="54"/>
      <c r="AH18" s="54"/>
      <c r="AI18" s="74"/>
      <c r="AJ18" s="140"/>
      <c r="AK18" s="6"/>
    </row>
    <row r="19" spans="2:37" ht="76.5" customHeight="1" x14ac:dyDescent="0.25">
      <c r="B19" s="35" t="str">
        <f>'1 lentelė'!$B19</f>
        <v>1.1.1.1.7</v>
      </c>
      <c r="C19" s="35" t="str">
        <f>'1 lentelė'!$C19</f>
        <v>R099905-293400-1107</v>
      </c>
      <c r="D19" s="35" t="str">
        <f>'1 lentelė'!$D19</f>
        <v>Prekybos ir paslaugų pasažo įrengimas D. Bukonto gatvėje Zarasų mieste</v>
      </c>
      <c r="E19" s="32" t="s">
        <v>30</v>
      </c>
      <c r="F19" s="132"/>
      <c r="G19" s="133" t="str">
        <f>'2 lentelė'!$E19</f>
        <v>P.B.238</v>
      </c>
      <c r="H19" s="32" t="str">
        <f>'2 lentelė'!$F19</f>
        <v xml:space="preserve">Sukurtos arba atnaujintos atviros erdvės miestų vietovėse, m2 </v>
      </c>
      <c r="I19" s="32">
        <f>'2 lentelė'!$G19</f>
        <v>1230</v>
      </c>
      <c r="J19" s="32">
        <v>0</v>
      </c>
      <c r="K19" s="134">
        <v>0</v>
      </c>
      <c r="L19" s="133" t="str">
        <f>'2 lentelė'!$H19</f>
        <v>P.B.239</v>
      </c>
      <c r="M19" s="32" t="str">
        <f>'2 lentelė'!$I19</f>
        <v xml:space="preserve">Pastatyti arba atnaujinti viešieji arba komerciniai pastatai miestų vietovėse, m2 </v>
      </c>
      <c r="N19" s="32">
        <f>'2 lentelė'!$J19</f>
        <v>325</v>
      </c>
      <c r="O19" s="32">
        <v>0</v>
      </c>
      <c r="P19" s="134">
        <v>0</v>
      </c>
      <c r="Q19" s="135"/>
      <c r="R19" s="29"/>
      <c r="S19" s="29"/>
      <c r="T19" s="32"/>
      <c r="U19" s="134"/>
      <c r="V19" s="137"/>
      <c r="W19" s="37"/>
      <c r="X19" s="29"/>
      <c r="Y19" s="32"/>
      <c r="Z19" s="134"/>
      <c r="AA19" s="138"/>
      <c r="AB19" s="54"/>
      <c r="AC19" s="54"/>
      <c r="AD19" s="75"/>
      <c r="AE19" s="142"/>
      <c r="AF19" s="138"/>
      <c r="AG19" s="54"/>
      <c r="AH19" s="54"/>
      <c r="AI19" s="76"/>
      <c r="AJ19" s="143"/>
      <c r="AK19" s="33"/>
    </row>
    <row r="20" spans="2:37" ht="145.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65</v>
      </c>
      <c r="F20" s="132" t="s">
        <v>930</v>
      </c>
      <c r="G20" s="133" t="str">
        <f>'2 lentelė'!$E20</f>
        <v>P.B.238</v>
      </c>
      <c r="H20" s="32" t="str">
        <f>'2 lentelė'!$F20</f>
        <v xml:space="preserve">Sukurtos arba atnaujintos atviros erdvės miestų vietovėse, m2 </v>
      </c>
      <c r="I20" s="32">
        <f>'2 lentelė'!$G20</f>
        <v>18321</v>
      </c>
      <c r="J20" s="32">
        <v>18321</v>
      </c>
      <c r="K20" s="134">
        <v>0</v>
      </c>
      <c r="L20" s="133"/>
      <c r="M20" s="32"/>
      <c r="N20" s="32"/>
      <c r="O20" s="32"/>
      <c r="P20" s="134"/>
      <c r="Q20" s="135"/>
      <c r="R20" s="29"/>
      <c r="S20" s="29"/>
      <c r="T20" s="32"/>
      <c r="U20" s="134"/>
      <c r="V20" s="137"/>
      <c r="W20" s="37"/>
      <c r="X20" s="29"/>
      <c r="Y20" s="32"/>
      <c r="Z20" s="134"/>
      <c r="AA20" s="138"/>
      <c r="AB20" s="54"/>
      <c r="AC20" s="54"/>
      <c r="AD20" s="75"/>
      <c r="AE20" s="142"/>
      <c r="AF20" s="138"/>
      <c r="AG20" s="54"/>
      <c r="AH20" s="54"/>
      <c r="AI20" s="76"/>
      <c r="AJ20" s="143"/>
      <c r="AK20" s="33"/>
    </row>
    <row r="21" spans="2:37" ht="69" customHeight="1" x14ac:dyDescent="0.25">
      <c r="B21" s="35" t="str">
        <f>'1 lentelė'!$B21</f>
        <v>1.1.1.1.9</v>
      </c>
      <c r="C21" s="35" t="str">
        <f>'1 lentelė'!$C21</f>
        <v>R099905-290000-1119</v>
      </c>
      <c r="D21" s="35" t="str">
        <f>'1 lentelė'!$D21</f>
        <v xml:space="preserve">Molėtų miesto centrinės dalies kompleksinis sutvarkymas (I etapas) </v>
      </c>
      <c r="E21" s="32" t="s">
        <v>65</v>
      </c>
      <c r="F21" s="132" t="s">
        <v>931</v>
      </c>
      <c r="G21" s="133" t="str">
        <f>'2 lentelė'!$E21</f>
        <v>P.B.238</v>
      </c>
      <c r="H21" s="32" t="str">
        <f>'2 lentelė'!$F21</f>
        <v>Sukurtos arba atnaujintos atviros erdvės miestų vietovėse, m2</v>
      </c>
      <c r="I21" s="32">
        <f>'2 lentelė'!$G21</f>
        <v>8081.1</v>
      </c>
      <c r="J21" s="32">
        <v>8081.1</v>
      </c>
      <c r="K21" s="134">
        <v>0</v>
      </c>
      <c r="L21" s="133"/>
      <c r="M21" s="32"/>
      <c r="N21" s="32"/>
      <c r="O21" s="32"/>
      <c r="P21" s="134"/>
      <c r="Q21" s="135"/>
      <c r="R21" s="29"/>
      <c r="S21" s="29"/>
      <c r="T21" s="32"/>
      <c r="U21" s="134"/>
      <c r="V21" s="137"/>
      <c r="W21" s="37"/>
      <c r="X21" s="29"/>
      <c r="Y21" s="32"/>
      <c r="Z21" s="134"/>
      <c r="AA21" s="138"/>
      <c r="AB21" s="54"/>
      <c r="AC21" s="54"/>
      <c r="AD21" s="75"/>
      <c r="AE21" s="142"/>
      <c r="AF21" s="138"/>
      <c r="AG21" s="54"/>
      <c r="AH21" s="54"/>
      <c r="AI21" s="76"/>
      <c r="AJ21" s="143"/>
      <c r="AK21" s="33"/>
    </row>
    <row r="22" spans="2:37"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30</v>
      </c>
      <c r="F22" s="132" t="s">
        <v>932</v>
      </c>
      <c r="G22" s="133" t="str">
        <f>'2 lentelė'!$E22</f>
        <v>P.B.238</v>
      </c>
      <c r="H22" s="32" t="str">
        <f>'2 lentelė'!$F22</f>
        <v xml:space="preserve">Sukurtos arba atnaujintos atviros erdvės miestų vietovėse, m2 </v>
      </c>
      <c r="I22" s="32">
        <f>'2 lentelė'!$G22</f>
        <v>331458</v>
      </c>
      <c r="J22" s="32">
        <v>331458</v>
      </c>
      <c r="K22" s="134">
        <v>0</v>
      </c>
      <c r="L22" s="133"/>
      <c r="M22" s="32"/>
      <c r="N22" s="32"/>
      <c r="O22" s="32"/>
      <c r="P22" s="134"/>
      <c r="Q22" s="135"/>
      <c r="R22" s="29"/>
      <c r="S22" s="29"/>
      <c r="T22" s="32"/>
      <c r="U22" s="134"/>
      <c r="V22" s="137"/>
      <c r="W22" s="37"/>
      <c r="X22" s="29"/>
      <c r="Y22" s="32"/>
      <c r="Z22" s="134"/>
      <c r="AA22" s="138"/>
      <c r="AB22" s="54"/>
      <c r="AC22" s="54"/>
      <c r="AD22" s="75"/>
      <c r="AE22" s="142"/>
      <c r="AF22" s="138"/>
      <c r="AG22" s="54"/>
      <c r="AH22" s="54"/>
      <c r="AI22" s="76"/>
      <c r="AJ22" s="143"/>
      <c r="AK22" s="33"/>
    </row>
    <row r="23" spans="2:37" ht="90"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30</v>
      </c>
      <c r="F23" s="132"/>
      <c r="G23" s="133" t="str">
        <f>'2 lentelė'!$E23</f>
        <v>P.B.238</v>
      </c>
      <c r="H23" s="32" t="str">
        <f>'2 lentelė'!$F23</f>
        <v xml:space="preserve">Sukurtos arba atnaujintos atviros erdvės miestų vietovėse, m2 </v>
      </c>
      <c r="I23" s="32">
        <f>'2 lentelė'!$G23</f>
        <v>46848</v>
      </c>
      <c r="J23" s="32">
        <v>0</v>
      </c>
      <c r="K23" s="134">
        <v>0</v>
      </c>
      <c r="L23" s="133"/>
      <c r="M23" s="32"/>
      <c r="N23" s="32"/>
      <c r="O23" s="32"/>
      <c r="P23" s="134"/>
      <c r="Q23" s="135"/>
      <c r="R23" s="29"/>
      <c r="S23" s="29"/>
      <c r="T23" s="32"/>
      <c r="U23" s="134"/>
      <c r="V23" s="137"/>
      <c r="W23" s="37"/>
      <c r="X23" s="29"/>
      <c r="Y23" s="32"/>
      <c r="Z23" s="134"/>
      <c r="AA23" s="138"/>
      <c r="AB23" s="54"/>
      <c r="AC23" s="54"/>
      <c r="AD23" s="75"/>
      <c r="AE23" s="142"/>
      <c r="AF23" s="138"/>
      <c r="AG23" s="54"/>
      <c r="AH23" s="54"/>
      <c r="AI23" s="76"/>
      <c r="AJ23" s="143"/>
      <c r="AK23" s="33"/>
    </row>
    <row r="24" spans="2:37" ht="76.5" x14ac:dyDescent="0.25">
      <c r="B24" s="35" t="str">
        <f>'1 lentelė'!$B24</f>
        <v>1.1.1.1.12</v>
      </c>
      <c r="C24" s="35" t="str">
        <f>'1 lentelė'!$C24</f>
        <v>R099905-281900-1112</v>
      </c>
      <c r="D24" s="35" t="str">
        <f>'1 lentelė'!$D24</f>
        <v xml:space="preserve">Viešosios aktyvaus laisvalaikio infrastruktūros plėtra Molėtų mieste, II etapas </v>
      </c>
      <c r="E24" s="32" t="s">
        <v>65</v>
      </c>
      <c r="F24" s="132" t="s">
        <v>933</v>
      </c>
      <c r="G24" s="133" t="str">
        <f>'2 lentelė'!$E24</f>
        <v>P.B.238</v>
      </c>
      <c r="H24" s="32" t="str">
        <f>'2 lentelė'!$F24</f>
        <v>Sukurtos arba atnaujintos atviros erdvės miestų vietovėse, m2</v>
      </c>
      <c r="I24" s="32">
        <f>'2 lentelė'!$G24</f>
        <v>58654</v>
      </c>
      <c r="J24" s="32">
        <v>58654</v>
      </c>
      <c r="K24" s="134">
        <v>58654</v>
      </c>
      <c r="L24" s="133"/>
      <c r="M24" s="32"/>
      <c r="N24" s="32"/>
      <c r="O24" s="32"/>
      <c r="P24" s="134"/>
      <c r="Q24" s="135"/>
      <c r="R24" s="29"/>
      <c r="S24" s="29"/>
      <c r="T24" s="29"/>
      <c r="U24" s="136"/>
      <c r="V24" s="137"/>
      <c r="W24" s="37"/>
      <c r="X24" s="29"/>
      <c r="Y24" s="29"/>
      <c r="Z24" s="136"/>
      <c r="AA24" s="138"/>
      <c r="AB24" s="54"/>
      <c r="AC24" s="54"/>
      <c r="AD24" s="54"/>
      <c r="AE24" s="139"/>
      <c r="AF24" s="138"/>
      <c r="AG24" s="54"/>
      <c r="AH24" s="54"/>
      <c r="AI24" s="74"/>
      <c r="AJ24" s="140"/>
      <c r="AK24" s="6"/>
    </row>
    <row r="25" spans="2:37" ht="93.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65</v>
      </c>
      <c r="F25" s="132" t="s">
        <v>934</v>
      </c>
      <c r="G25" s="133" t="str">
        <f>'2 lentelė'!$E25</f>
        <v>P.B.238</v>
      </c>
      <c r="H25" s="32" t="str">
        <f>'2 lentelė'!$F25</f>
        <v>Sukurtos arba atnaujintos atviros erdvės miestų vietovėse, m2</v>
      </c>
      <c r="I25" s="32">
        <f>'2 lentelė'!$G25</f>
        <v>5152.57</v>
      </c>
      <c r="J25" s="32">
        <v>5152.57</v>
      </c>
      <c r="K25" s="134">
        <v>0</v>
      </c>
      <c r="L25" s="133"/>
      <c r="M25" s="32"/>
      <c r="N25" s="32"/>
      <c r="O25" s="32"/>
      <c r="P25" s="134"/>
      <c r="Q25" s="135"/>
      <c r="R25" s="29"/>
      <c r="S25" s="29"/>
      <c r="T25" s="29"/>
      <c r="U25" s="136"/>
      <c r="V25" s="137"/>
      <c r="W25" s="37"/>
      <c r="X25" s="29"/>
      <c r="Y25" s="29"/>
      <c r="Z25" s="136"/>
      <c r="AA25" s="138"/>
      <c r="AB25" s="54"/>
      <c r="AC25" s="54"/>
      <c r="AD25" s="54"/>
      <c r="AE25" s="139"/>
      <c r="AF25" s="138"/>
      <c r="AG25" s="54"/>
      <c r="AH25" s="54"/>
      <c r="AI25" s="144"/>
      <c r="AJ25" s="145"/>
      <c r="AK25" s="6"/>
    </row>
    <row r="26" spans="2:37"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30</v>
      </c>
      <c r="F26" s="146" t="s">
        <v>935</v>
      </c>
      <c r="G26" s="133" t="str">
        <f>'2 lentelė'!$E26</f>
        <v>P.B.238</v>
      </c>
      <c r="H26" s="32" t="str">
        <f>'2 lentelė'!$F26</f>
        <v xml:space="preserve">Sukurtos arba atnaujintos atviros erdvės miestų vietovėse, m2 </v>
      </c>
      <c r="I26" s="32">
        <f>'2 lentelė'!G26</f>
        <v>30387</v>
      </c>
      <c r="J26" s="32">
        <v>30387</v>
      </c>
      <c r="K26" s="134">
        <v>30387</v>
      </c>
      <c r="L26" s="133"/>
      <c r="M26" s="32"/>
      <c r="N26" s="32"/>
      <c r="O26" s="29"/>
      <c r="P26" s="136"/>
      <c r="Q26" s="135"/>
      <c r="R26" s="29"/>
      <c r="S26" s="29"/>
      <c r="T26" s="29"/>
      <c r="U26" s="136"/>
      <c r="V26" s="137"/>
      <c r="W26" s="255"/>
      <c r="X26" s="256"/>
      <c r="Y26" s="256"/>
      <c r="Z26" s="136"/>
      <c r="AA26" s="138"/>
      <c r="AB26" s="54"/>
      <c r="AC26" s="54"/>
      <c r="AD26" s="54"/>
      <c r="AE26" s="139"/>
      <c r="AF26" s="138"/>
      <c r="AG26" s="54"/>
      <c r="AH26" s="54"/>
      <c r="AI26" s="144"/>
      <c r="AJ26" s="145"/>
      <c r="AK26" s="6"/>
    </row>
    <row r="27" spans="2:37" ht="82.5" customHeight="1" x14ac:dyDescent="0.25">
      <c r="B27" s="27" t="str">
        <f>'1 lentelė'!$B27</f>
        <v>1.1.1.2</v>
      </c>
      <c r="C27" s="27"/>
      <c r="D27" s="89" t="str">
        <f>'1 lentelė'!$D27</f>
        <v>Priemonė: Pereinamojo laikotarpio tikslinių teritorijų vystymas</v>
      </c>
      <c r="E27" s="27"/>
      <c r="F27" s="129"/>
      <c r="G27" s="27"/>
      <c r="H27" s="27"/>
      <c r="I27" s="27"/>
      <c r="J27" s="27"/>
      <c r="K27" s="27"/>
      <c r="L27" s="27"/>
      <c r="M27" s="27"/>
      <c r="N27" s="27"/>
      <c r="O27" s="27"/>
      <c r="P27" s="27"/>
      <c r="Q27" s="27"/>
      <c r="R27" s="27"/>
      <c r="S27" s="27"/>
      <c r="T27" s="27"/>
      <c r="U27" s="131"/>
      <c r="V27" s="129"/>
      <c r="W27" s="27"/>
      <c r="X27" s="27"/>
      <c r="Y27" s="27"/>
      <c r="Z27" s="254"/>
      <c r="AA27" s="129"/>
      <c r="AB27" s="27"/>
      <c r="AC27" s="27"/>
      <c r="AD27" s="27"/>
      <c r="AE27" s="254"/>
      <c r="AF27" s="129"/>
      <c r="AG27" s="27"/>
      <c r="AH27" s="27"/>
      <c r="AI27" s="27"/>
      <c r="AJ27" s="254"/>
      <c r="AK27" s="6"/>
    </row>
    <row r="28" spans="2:37" ht="70.5" customHeight="1" x14ac:dyDescent="0.25">
      <c r="B28" s="35" t="str">
        <f>'1 lentelė'!$B28</f>
        <v>1.1.1.2.1</v>
      </c>
      <c r="C28" s="35" t="str">
        <f>'1 lentelė'!$C28</f>
        <v>R099903-300000-1115</v>
      </c>
      <c r="D28" s="35" t="str">
        <f>'1 lentelė'!$D28</f>
        <v xml:space="preserve">Daugiabučių namų kvartalų Ignalinos mieste kompleksinis sutvarkymas </v>
      </c>
      <c r="E28" s="29" t="s">
        <v>65</v>
      </c>
      <c r="F28" s="132" t="s">
        <v>936</v>
      </c>
      <c r="G28" s="133" t="str">
        <f>'2 lentelė'!$E28</f>
        <v>P.B.238</v>
      </c>
      <c r="H28" s="32" t="str">
        <f>'2 lentelė'!$F28</f>
        <v>Sukurtos arba atnaujintos atviros erdvės miestų vietovėse</v>
      </c>
      <c r="I28" s="32">
        <f>'2 lentelė'!$G28</f>
        <v>8290.23</v>
      </c>
      <c r="J28" s="32">
        <v>6145</v>
      </c>
      <c r="K28" s="32">
        <v>8290.23</v>
      </c>
      <c r="L28" s="133"/>
      <c r="M28" s="32"/>
      <c r="N28" s="32"/>
      <c r="O28" s="29"/>
      <c r="P28" s="136"/>
      <c r="Q28" s="135"/>
      <c r="R28" s="29"/>
      <c r="S28" s="29"/>
      <c r="T28" s="37"/>
      <c r="U28" s="148"/>
      <c r="V28" s="137"/>
      <c r="W28" s="257"/>
      <c r="X28" s="78"/>
      <c r="Y28" s="78"/>
      <c r="Z28" s="136"/>
      <c r="AA28" s="138"/>
      <c r="AB28" s="54"/>
      <c r="AC28" s="54"/>
      <c r="AD28" s="54"/>
      <c r="AE28" s="139"/>
      <c r="AF28" s="138"/>
      <c r="AG28" s="54"/>
      <c r="AH28" s="54"/>
      <c r="AI28" s="144"/>
      <c r="AJ28" s="145"/>
      <c r="AK28" s="6"/>
    </row>
    <row r="29" spans="2:37" ht="109.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29" t="s">
        <v>65</v>
      </c>
      <c r="F29" s="132" t="s">
        <v>937</v>
      </c>
      <c r="G29" s="133" t="str">
        <f>'2 lentelė'!$E29</f>
        <v>P.B.238</v>
      </c>
      <c r="H29" s="32" t="str">
        <f>'2 lentelė'!$F29</f>
        <v>Sukurtos arba atnaujintos atviros erdvės miestų vietovėse</v>
      </c>
      <c r="I29" s="32">
        <f>'2 lentelė'!$G29</f>
        <v>88445</v>
      </c>
      <c r="J29" s="32">
        <v>88445</v>
      </c>
      <c r="K29" s="134">
        <v>0</v>
      </c>
      <c r="L29" s="133" t="str">
        <f>'2 lentelė'!$H29</f>
        <v>P.B.239</v>
      </c>
      <c r="M29" s="32" t="str">
        <f>'2 lentelė'!$I29</f>
        <v>Pastatyti arba atnaujinti viešieji arba komerciniai pastatai miesto vietovėje –m2;</v>
      </c>
      <c r="N29" s="32">
        <f>'2 lentelė'!$J29</f>
        <v>800</v>
      </c>
      <c r="O29" s="32">
        <v>800</v>
      </c>
      <c r="P29" s="134">
        <v>0</v>
      </c>
      <c r="Q29" s="135"/>
      <c r="R29" s="29"/>
      <c r="S29" s="29"/>
      <c r="T29" s="37"/>
      <c r="U29" s="148"/>
      <c r="V29" s="137"/>
      <c r="W29" s="37"/>
      <c r="X29" s="29"/>
      <c r="Y29" s="29"/>
      <c r="Z29" s="136"/>
      <c r="AA29" s="138"/>
      <c r="AB29" s="54"/>
      <c r="AC29" s="54"/>
      <c r="AD29" s="54"/>
      <c r="AE29" s="139"/>
      <c r="AF29" s="138"/>
      <c r="AG29" s="54"/>
      <c r="AH29" s="54"/>
      <c r="AI29" s="144"/>
      <c r="AJ29" s="145"/>
      <c r="AK29" s="6"/>
    </row>
    <row r="30" spans="2:37" ht="72.75" customHeight="1" x14ac:dyDescent="0.25">
      <c r="B30" s="35" t="str">
        <f>'1 lentelė'!$B30</f>
        <v>1.1.1.2.3</v>
      </c>
      <c r="C30" s="35" t="str">
        <f>'1 lentelė'!$C30</f>
        <v>R099902-300000-1117</v>
      </c>
      <c r="D30" s="35" t="str">
        <f>'1 lentelė'!$D30</f>
        <v xml:space="preserve">Dauniškio daugiabučių namų kvartalo teritorijos sutvarkymas </v>
      </c>
      <c r="E30" s="29" t="s">
        <v>65</v>
      </c>
      <c r="F30" s="132" t="s">
        <v>938</v>
      </c>
      <c r="G30" s="133" t="str">
        <f>'2 lentelė'!$E30</f>
        <v>P.B.238</v>
      </c>
      <c r="H30" s="32" t="str">
        <f>'2 lentelė'!$F30</f>
        <v>Sukurtos arba atnaujintos atviros erdvės miestų vietovėse, m2</v>
      </c>
      <c r="I30" s="32">
        <f>'2 lentelė'!$G30</f>
        <v>55516.7</v>
      </c>
      <c r="J30" s="32">
        <v>55471</v>
      </c>
      <c r="K30" s="134">
        <v>55516.7</v>
      </c>
      <c r="L30" s="133"/>
      <c r="M30" s="32"/>
      <c r="N30" s="32"/>
      <c r="O30" s="29"/>
      <c r="P30" s="136"/>
      <c r="Q30" s="135"/>
      <c r="R30" s="29"/>
      <c r="S30" s="29"/>
      <c r="T30" s="37"/>
      <c r="U30" s="148"/>
      <c r="V30" s="137"/>
      <c r="W30" s="37"/>
      <c r="X30" s="29"/>
      <c r="Y30" s="29"/>
      <c r="Z30" s="136"/>
      <c r="AA30" s="138"/>
      <c r="AB30" s="54"/>
      <c r="AC30" s="54"/>
      <c r="AD30" s="54"/>
      <c r="AE30" s="139"/>
      <c r="AF30" s="138"/>
      <c r="AG30" s="54"/>
      <c r="AH30" s="54"/>
      <c r="AI30" s="74"/>
      <c r="AJ30" s="140"/>
      <c r="AK30" s="6"/>
    </row>
    <row r="31" spans="2:37" ht="170.25" customHeight="1" x14ac:dyDescent="0.25">
      <c r="B31" s="25" t="str">
        <f>'1 lentelė'!$B31</f>
        <v xml:space="preserve">1.1.2 </v>
      </c>
      <c r="C31" s="25"/>
      <c r="D31" s="26" t="str">
        <f>'1 lentelė'!$D31</f>
        <v>Uždavinys: Kompleksiškai atnaujinti 1-6 tūkst. gyventojų turinčių miestų (išskyrus savivaldybių centrus), miestelių ir kaimų bendruomeninę ir viešąją infrastruktūrą</v>
      </c>
      <c r="E31" s="25"/>
      <c r="F31" s="127"/>
      <c r="G31" s="25"/>
      <c r="H31" s="25"/>
      <c r="I31" s="25"/>
      <c r="J31" s="25"/>
      <c r="K31" s="127"/>
      <c r="L31" s="25"/>
      <c r="M31" s="25"/>
      <c r="N31" s="25"/>
      <c r="O31" s="25"/>
      <c r="P31" s="127"/>
      <c r="Q31" s="25"/>
      <c r="R31" s="25"/>
      <c r="S31" s="25"/>
      <c r="T31" s="26"/>
      <c r="U31" s="127"/>
      <c r="V31" s="25"/>
      <c r="W31" s="25"/>
      <c r="X31" s="25"/>
      <c r="Y31" s="26"/>
      <c r="Z31" s="127"/>
      <c r="AA31" s="25"/>
      <c r="AB31" s="25"/>
      <c r="AC31" s="25"/>
      <c r="AD31" s="26"/>
      <c r="AE31" s="127"/>
      <c r="AF31" s="25"/>
      <c r="AG31" s="25"/>
      <c r="AH31" s="25"/>
      <c r="AI31" s="26"/>
      <c r="AJ31" s="127"/>
      <c r="AK31" s="6"/>
    </row>
    <row r="32" spans="2:37" ht="76.5" customHeight="1" x14ac:dyDescent="0.25">
      <c r="B32" s="27" t="str">
        <f>'1 lentelė'!$B32</f>
        <v>1.1.2.1</v>
      </c>
      <c r="C32" s="27"/>
      <c r="D32" s="89" t="str">
        <f>'1 lentelė'!$D32</f>
        <v>Priemonė: Kaimo gyvenamųjų vietovių atnaujinimas</v>
      </c>
      <c r="E32" s="27"/>
      <c r="F32" s="131"/>
      <c r="G32" s="27"/>
      <c r="H32" s="27"/>
      <c r="I32" s="27"/>
      <c r="J32" s="27"/>
      <c r="K32" s="131"/>
      <c r="L32" s="27"/>
      <c r="M32" s="27"/>
      <c r="N32" s="27"/>
      <c r="O32" s="27"/>
      <c r="P32" s="131"/>
      <c r="Q32" s="129"/>
      <c r="R32" s="27"/>
      <c r="S32" s="27"/>
      <c r="T32" s="27"/>
      <c r="U32" s="131"/>
      <c r="V32" s="129"/>
      <c r="W32" s="27"/>
      <c r="X32" s="27"/>
      <c r="Y32" s="27"/>
      <c r="Z32" s="131"/>
      <c r="AA32" s="129"/>
      <c r="AB32" s="27"/>
      <c r="AC32" s="27"/>
      <c r="AD32" s="27"/>
      <c r="AE32" s="131"/>
      <c r="AF32" s="129"/>
      <c r="AG32" s="27"/>
      <c r="AH32" s="27"/>
      <c r="AI32" s="27"/>
      <c r="AJ32" s="131"/>
      <c r="AK32" s="6"/>
    </row>
    <row r="33" spans="2:41" ht="106.5" customHeight="1"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29" t="s">
        <v>87</v>
      </c>
      <c r="F33" s="132" t="s">
        <v>939</v>
      </c>
      <c r="G33" s="133" t="str">
        <f>'2 lentelė'!$E33</f>
        <v>P.S.364</v>
      </c>
      <c r="H33" s="32" t="str">
        <f>'2 lentelė'!$F33</f>
        <v>Naujos atviros erdvės vietovėse nuo 1 iki 6 tūkst. gyv. (išskyrus savivaldybių centrus) (kv. m)</v>
      </c>
      <c r="I33" s="32">
        <f>'2 lentelė'!$G33</f>
        <v>43328.23</v>
      </c>
      <c r="J33" s="32">
        <v>34503</v>
      </c>
      <c r="K33" s="147">
        <v>43328.23</v>
      </c>
      <c r="L33" s="133" t="str">
        <f>'2 lentelė'!$H33</f>
        <v>P.S.365</v>
      </c>
      <c r="M33" s="32" t="str">
        <f>'2 lentelė'!$I33</f>
        <v>Atnaujinti ir pritaikyti naujai paskirčiai pastatai ir statiniai kaimo vietovėse, kv. m.</v>
      </c>
      <c r="N33" s="32">
        <f>'2 lentelė'!$J33</f>
        <v>84.82</v>
      </c>
      <c r="O33" s="32">
        <v>81</v>
      </c>
      <c r="P33" s="134">
        <v>84.82</v>
      </c>
      <c r="Q33" s="135"/>
      <c r="R33" s="29"/>
      <c r="S33" s="29"/>
      <c r="T33" s="29"/>
      <c r="U33" s="136"/>
      <c r="V33" s="137"/>
      <c r="W33" s="37"/>
      <c r="X33" s="29"/>
      <c r="Y33" s="29"/>
      <c r="Z33" s="136"/>
      <c r="AA33" s="138"/>
      <c r="AB33" s="54"/>
      <c r="AC33" s="54"/>
      <c r="AD33" s="74"/>
      <c r="AE33" s="149"/>
      <c r="AF33" s="138"/>
      <c r="AG33" s="54"/>
      <c r="AH33" s="54"/>
      <c r="AI33" s="54"/>
      <c r="AJ33" s="150"/>
      <c r="AK33" s="6"/>
      <c r="AL33" s="6"/>
      <c r="AM33" s="6"/>
      <c r="AN33" s="6"/>
    </row>
    <row r="34" spans="2:41" ht="181.5" customHeight="1" x14ac:dyDescent="0.25">
      <c r="B34" s="48" t="str">
        <f>'1 lentelė'!$B34</f>
        <v xml:space="preserve">1.1.3 </v>
      </c>
      <c r="C34" s="48"/>
      <c r="D34" s="48" t="str">
        <f>'1 lentelė'!$D34</f>
        <v>Uždavinys: Kompleksiškai atnaujinti mažiau kaip 1 tūkst. gyventojų turinčių miestų, miestelių ir kaimų (iki 1 tūkst. gyv.) viešąją infrastruktūrą (taikant kaimo plėtros politikos priemones)</v>
      </c>
      <c r="E34" s="48"/>
      <c r="F34" s="151"/>
      <c r="G34" s="48"/>
      <c r="H34" s="48"/>
      <c r="I34" s="48"/>
      <c r="J34" s="48"/>
      <c r="K34" s="151"/>
      <c r="L34" s="48"/>
      <c r="M34" s="48"/>
      <c r="N34" s="48"/>
      <c r="O34" s="48"/>
      <c r="P34" s="151"/>
      <c r="Q34" s="48"/>
      <c r="R34" s="48"/>
      <c r="S34" s="48"/>
      <c r="T34" s="48"/>
      <c r="U34" s="151"/>
      <c r="V34" s="48"/>
      <c r="W34" s="48"/>
      <c r="X34" s="48"/>
      <c r="Y34" s="48"/>
      <c r="Z34" s="151"/>
      <c r="AA34" s="48"/>
      <c r="AB34" s="48"/>
      <c r="AC34" s="48"/>
      <c r="AD34" s="48"/>
      <c r="AE34" s="151"/>
      <c r="AF34" s="48"/>
      <c r="AG34" s="48"/>
      <c r="AH34" s="48"/>
      <c r="AI34" s="48"/>
      <c r="AJ34" s="151"/>
      <c r="AK34" s="6"/>
      <c r="AL34" s="6"/>
      <c r="AM34" s="6"/>
      <c r="AN34" s="6"/>
      <c r="AO34" s="6"/>
    </row>
    <row r="35" spans="2:41" ht="96" customHeight="1" x14ac:dyDescent="0.25">
      <c r="B35" s="50" t="str">
        <f>'1 lentelė'!$B35</f>
        <v xml:space="preserve">1.1.3.1 </v>
      </c>
      <c r="C35" s="50"/>
      <c r="D35" s="90" t="str">
        <f>'1 lentelė'!$D35</f>
        <v>Priemonė (KPP veiklos sritis): Parama investicijoms į visų rūšių mažos apimties infrastruktūrą</v>
      </c>
      <c r="E35" s="50"/>
      <c r="F35" s="152"/>
      <c r="G35" s="50"/>
      <c r="H35" s="50"/>
      <c r="I35" s="50"/>
      <c r="J35" s="50"/>
      <c r="K35" s="152"/>
      <c r="L35" s="50"/>
      <c r="M35" s="50"/>
      <c r="N35" s="50"/>
      <c r="O35" s="50"/>
      <c r="P35" s="152"/>
      <c r="Q35" s="50"/>
      <c r="R35" s="50"/>
      <c r="S35" s="50"/>
      <c r="T35" s="50"/>
      <c r="U35" s="152"/>
      <c r="V35" s="50"/>
      <c r="W35" s="50"/>
      <c r="X35" s="50"/>
      <c r="Y35" s="50"/>
      <c r="Z35" s="152"/>
      <c r="AA35" s="50"/>
      <c r="AB35" s="50"/>
      <c r="AC35" s="50"/>
      <c r="AD35" s="50"/>
      <c r="AE35" s="152"/>
      <c r="AF35" s="50"/>
      <c r="AG35" s="50"/>
      <c r="AH35" s="50"/>
      <c r="AI35" s="50"/>
      <c r="AJ35" s="152"/>
      <c r="AK35" s="6"/>
    </row>
    <row r="36" spans="2:41" ht="68.25" customHeight="1" x14ac:dyDescent="0.25">
      <c r="B36" s="32" t="str">
        <f>'1 lentelė'!B36</f>
        <v>1.1.3.1.-1.1.3.28</v>
      </c>
      <c r="C36" s="32"/>
      <c r="D36" s="346" t="str">
        <f>'1 lentelė'!D36</f>
        <v>Pagrindinės paslaugos ir kaimų atnaujinimas kaimo vietovėse</v>
      </c>
      <c r="E36" s="32" t="s">
        <v>66</v>
      </c>
      <c r="F36" s="134" t="s">
        <v>1486</v>
      </c>
      <c r="G36" s="32"/>
      <c r="H36" s="32" t="s">
        <v>1487</v>
      </c>
      <c r="I36" s="32"/>
      <c r="J36" s="32">
        <v>21</v>
      </c>
      <c r="K36" s="134"/>
      <c r="L36" s="32"/>
      <c r="M36" s="32"/>
      <c r="N36" s="32"/>
      <c r="O36" s="32"/>
      <c r="P36" s="134"/>
      <c r="Q36" s="32"/>
      <c r="R36" s="32"/>
      <c r="S36" s="32"/>
      <c r="T36" s="32"/>
      <c r="U36" s="134"/>
      <c r="V36" s="32"/>
      <c r="W36" s="32"/>
      <c r="X36" s="32"/>
      <c r="Y36" s="32"/>
      <c r="Z36" s="134"/>
      <c r="AA36" s="32"/>
      <c r="AB36" s="32"/>
      <c r="AC36" s="32"/>
      <c r="AD36" s="32"/>
      <c r="AE36" s="134"/>
      <c r="AF36" s="32"/>
      <c r="AG36" s="32"/>
      <c r="AH36" s="32"/>
      <c r="AI36" s="32"/>
      <c r="AJ36" s="134"/>
      <c r="AK36" s="6"/>
    </row>
    <row r="37" spans="2:41" ht="110.25" customHeight="1" x14ac:dyDescent="0.25">
      <c r="B37" s="50" t="str">
        <f>'1 lentelė'!$B37</f>
        <v>1.1.3.2</v>
      </c>
      <c r="C37" s="50"/>
      <c r="D37" s="90" t="str">
        <f>'1 lentelė'!$D37</f>
        <v>Priemonė (KPP veiklos sritis): Parama investicijoms į kaimo kultūros ir gamtos paveldą, kraštovaizdį</v>
      </c>
      <c r="E37" s="50"/>
      <c r="F37" s="152"/>
      <c r="G37" s="50"/>
      <c r="H37" s="50"/>
      <c r="I37" s="50"/>
      <c r="J37" s="50"/>
      <c r="K37" s="152"/>
      <c r="L37" s="50"/>
      <c r="M37" s="50"/>
      <c r="N37" s="50"/>
      <c r="O37" s="50"/>
      <c r="P37" s="152"/>
      <c r="Q37" s="50"/>
      <c r="R37" s="50"/>
      <c r="S37" s="50"/>
      <c r="T37" s="50"/>
      <c r="U37" s="152"/>
      <c r="V37" s="50"/>
      <c r="W37" s="50"/>
      <c r="X37" s="50"/>
      <c r="Y37" s="50"/>
      <c r="Z37" s="152"/>
      <c r="AA37" s="50"/>
      <c r="AB37" s="50"/>
      <c r="AC37" s="50"/>
      <c r="AD37" s="50"/>
      <c r="AE37" s="152"/>
      <c r="AF37" s="50"/>
      <c r="AG37" s="50"/>
      <c r="AH37" s="50"/>
      <c r="AI37" s="50"/>
      <c r="AJ37" s="152"/>
      <c r="AK37" s="6"/>
    </row>
    <row r="38" spans="2:41" ht="103.5" customHeight="1" x14ac:dyDescent="0.25">
      <c r="B38" s="52" t="str">
        <f>'1 lentelė'!$B38</f>
        <v xml:space="preserve">1.2 </v>
      </c>
      <c r="C38" s="52"/>
      <c r="D38" s="52" t="str">
        <f>'1 lentelė'!$D38</f>
        <v>Tikslas: Modernios regiono transporto infrastruktūros ir darnaus judumo plėtojimas</v>
      </c>
      <c r="E38" s="52"/>
      <c r="F38" s="153"/>
      <c r="G38" s="52"/>
      <c r="H38" s="52"/>
      <c r="I38" s="52"/>
      <c r="J38" s="52"/>
      <c r="K38" s="153"/>
      <c r="L38" s="52"/>
      <c r="M38" s="52"/>
      <c r="N38" s="52"/>
      <c r="O38" s="52"/>
      <c r="P38" s="153"/>
      <c r="Q38" s="52"/>
      <c r="R38" s="52"/>
      <c r="S38" s="52"/>
      <c r="T38" s="52"/>
      <c r="U38" s="153"/>
      <c r="V38" s="52"/>
      <c r="W38" s="52"/>
      <c r="X38" s="52"/>
      <c r="Y38" s="51"/>
      <c r="Z38" s="154"/>
      <c r="AA38" s="52"/>
      <c r="AB38" s="52"/>
      <c r="AC38" s="52"/>
      <c r="AD38" s="52"/>
      <c r="AE38" s="153"/>
      <c r="AF38" s="52"/>
      <c r="AG38" s="52"/>
      <c r="AH38" s="52"/>
      <c r="AI38" s="51"/>
      <c r="AJ38" s="154"/>
      <c r="AK38" s="6"/>
    </row>
    <row r="39" spans="2:41" ht="66" customHeight="1" x14ac:dyDescent="0.25">
      <c r="B39" s="48" t="str">
        <f>'1 lentelė'!$B39</f>
        <v xml:space="preserve">1.2.1 </v>
      </c>
      <c r="C39" s="48"/>
      <c r="D39" s="48" t="str">
        <f>'1 lentelė'!$D39</f>
        <v>Uždavinys: Kompleksiškai modernizuoti kelių transporto infrastruktūrą</v>
      </c>
      <c r="E39" s="48"/>
      <c r="F39" s="151"/>
      <c r="G39" s="48"/>
      <c r="H39" s="48"/>
      <c r="I39" s="48"/>
      <c r="J39" s="48"/>
      <c r="K39" s="151"/>
      <c r="L39" s="48"/>
      <c r="M39" s="48"/>
      <c r="N39" s="48"/>
      <c r="O39" s="48"/>
      <c r="P39" s="151"/>
      <c r="Q39" s="48"/>
      <c r="R39" s="48"/>
      <c r="S39" s="48"/>
      <c r="T39" s="48"/>
      <c r="U39" s="151"/>
      <c r="V39" s="48"/>
      <c r="W39" s="48"/>
      <c r="X39" s="48"/>
      <c r="Y39" s="48"/>
      <c r="Z39" s="151"/>
      <c r="AA39" s="48"/>
      <c r="AB39" s="48"/>
      <c r="AC39" s="48"/>
      <c r="AD39" s="48"/>
      <c r="AE39" s="151"/>
      <c r="AF39" s="48"/>
      <c r="AG39" s="48"/>
      <c r="AH39" s="48"/>
      <c r="AI39" s="48"/>
      <c r="AJ39" s="151"/>
      <c r="AK39" s="6"/>
    </row>
    <row r="40" spans="2:41" ht="42" customHeight="1" x14ac:dyDescent="0.25">
      <c r="B40" s="50" t="str">
        <f>'1 lentelė'!$B40</f>
        <v>1.2.1.1</v>
      </c>
      <c r="C40" s="50"/>
      <c r="D40" s="90" t="str">
        <f>'1 lentelė'!$D40</f>
        <v>Priemonė:Vietinių kelių vystymas</v>
      </c>
      <c r="E40" s="50"/>
      <c r="F40" s="152"/>
      <c r="G40" s="50"/>
      <c r="H40" s="50"/>
      <c r="I40" s="50"/>
      <c r="J40" s="50"/>
      <c r="K40" s="152"/>
      <c r="L40" s="50"/>
      <c r="M40" s="50"/>
      <c r="N40" s="50"/>
      <c r="O40" s="50"/>
      <c r="P40" s="152"/>
      <c r="Q40" s="50"/>
      <c r="R40" s="50"/>
      <c r="S40" s="50"/>
      <c r="T40" s="50"/>
      <c r="U40" s="152"/>
      <c r="V40" s="50"/>
      <c r="W40" s="50"/>
      <c r="X40" s="50"/>
      <c r="Y40" s="50"/>
      <c r="Z40" s="152"/>
      <c r="AA40" s="50"/>
      <c r="AB40" s="50"/>
      <c r="AC40" s="50"/>
      <c r="AD40" s="50"/>
      <c r="AE40" s="152"/>
      <c r="AF40" s="50"/>
      <c r="AG40" s="50"/>
      <c r="AH40" s="50"/>
      <c r="AI40" s="50"/>
      <c r="AJ40" s="152"/>
      <c r="AK40" s="6"/>
    </row>
    <row r="41" spans="2:41" ht="78.75" customHeight="1" x14ac:dyDescent="0.25">
      <c r="B41" s="35" t="str">
        <f>'1 lentelė'!$B41</f>
        <v>1.2.1.1.1</v>
      </c>
      <c r="C41" s="35" t="str">
        <f>'1 lentelė'!$C41</f>
        <v>R095511-110000-1201</v>
      </c>
      <c r="D41" s="35" t="str">
        <f>'1 lentelė'!$D41</f>
        <v>Gatvės Ignalinos miesto rekreacinėje zonoje tarp Gavio ežero ir Turistų gatvės įrengimas</v>
      </c>
      <c r="E41" s="35" t="s">
        <v>65</v>
      </c>
      <c r="F41" s="132" t="s">
        <v>940</v>
      </c>
      <c r="G41" s="133" t="str">
        <f>'2 lentelė'!$E41</f>
        <v>P.N.508</v>
      </c>
      <c r="H41" s="32" t="str">
        <f>'2 lentelė'!$F41</f>
        <v>Bendras naujai nutiestų kelių ilgis, km.</v>
      </c>
      <c r="I41" s="53">
        <f>'2 lentelė'!$G41</f>
        <v>0.34699999999999998</v>
      </c>
      <c r="J41" s="53">
        <v>0.34699999999999998</v>
      </c>
      <c r="K41" s="155">
        <v>0</v>
      </c>
      <c r="L41" s="133"/>
      <c r="M41" s="32"/>
      <c r="N41" s="32"/>
      <c r="O41" s="32"/>
      <c r="P41" s="134"/>
      <c r="Q41" s="135"/>
      <c r="R41" s="29"/>
      <c r="S41" s="29"/>
      <c r="T41" s="29"/>
      <c r="U41" s="136"/>
      <c r="V41" s="137"/>
      <c r="W41" s="37"/>
      <c r="X41" s="29"/>
      <c r="Y41" s="29"/>
      <c r="Z41" s="136"/>
      <c r="AA41" s="138"/>
      <c r="AB41" s="54"/>
      <c r="AC41" s="54"/>
      <c r="AD41" s="74"/>
      <c r="AE41" s="149"/>
      <c r="AF41" s="138"/>
      <c r="AG41" s="54"/>
      <c r="AH41" s="54"/>
      <c r="AI41" s="74"/>
      <c r="AJ41" s="140"/>
      <c r="AK41" s="6"/>
    </row>
    <row r="42" spans="2:41" ht="63.75" x14ac:dyDescent="0.25">
      <c r="B42" s="35" t="str">
        <f>'1 lentelė'!$B42</f>
        <v xml:space="preserve">1.2.1.1.2 </v>
      </c>
      <c r="C42" s="35" t="str">
        <f>'1 lentelė'!$C42</f>
        <v>R095511-120000-1202</v>
      </c>
      <c r="D42" s="35" t="str">
        <f>'1 lentelė'!$D42</f>
        <v>Zarasų gatvės rekonstrukcija Zarasų mieste</v>
      </c>
      <c r="E42" s="35" t="s">
        <v>65</v>
      </c>
      <c r="F42" s="132" t="s">
        <v>1472</v>
      </c>
      <c r="G42" s="133" t="str">
        <f>'2 lentelė'!$E42</f>
        <v>P.B.214</v>
      </c>
      <c r="H42" s="32" t="str">
        <f>'2 lentelė'!$F42</f>
        <v>Bendras rekonstruotų arba atnaujintų kelių ilgis, km</v>
      </c>
      <c r="I42" s="32">
        <f>'2 lentelė'!$G42</f>
        <v>0.13</v>
      </c>
      <c r="J42" s="32">
        <v>0.13</v>
      </c>
      <c r="K42" s="134">
        <v>0</v>
      </c>
      <c r="L42" s="133"/>
      <c r="M42" s="32"/>
      <c r="N42" s="32"/>
      <c r="O42" s="32"/>
      <c r="P42" s="134"/>
      <c r="Q42" s="135"/>
      <c r="R42" s="29"/>
      <c r="S42" s="29"/>
      <c r="T42" s="29"/>
      <c r="U42" s="136"/>
      <c r="V42" s="137"/>
      <c r="W42" s="37"/>
      <c r="X42" s="29"/>
      <c r="Y42" s="29"/>
      <c r="Z42" s="136"/>
      <c r="AA42" s="138"/>
      <c r="AB42" s="54"/>
      <c r="AC42" s="54"/>
      <c r="AD42" s="74"/>
      <c r="AE42" s="149"/>
      <c r="AF42" s="138"/>
      <c r="AG42" s="54"/>
      <c r="AH42" s="54"/>
      <c r="AI42" s="74"/>
      <c r="AJ42" s="140"/>
      <c r="AK42" s="6"/>
    </row>
    <row r="43" spans="2:41" ht="141.75" customHeight="1" x14ac:dyDescent="0.25">
      <c r="B43" s="35" t="str">
        <f>'1 lentelė'!$B43</f>
        <v>1.2.1.1.3</v>
      </c>
      <c r="C43" s="35" t="str">
        <f>'1 lentelė'!$C43</f>
        <v>R095511-121100-1203</v>
      </c>
      <c r="D43" s="35" t="str">
        <f>'1 lentelė'!$D43</f>
        <v xml:space="preserve">Susisiekimo sąlygų pagerinimas tarp kuriamų Anykščių miesto traukos centrų bei patogus gyvenamosios aplinkos pasiekiamumo užtikrinimas. </v>
      </c>
      <c r="E43" s="35" t="s">
        <v>65</v>
      </c>
      <c r="F43" s="132" t="s">
        <v>941</v>
      </c>
      <c r="G43" s="133" t="str">
        <f>'2 lentelė'!$E43</f>
        <v>P.B.214</v>
      </c>
      <c r="H43" s="32" t="str">
        <f>'2 lentelė'!$F43</f>
        <v>Bendras rekonstruotų arba atnaujintų kelių ilgis, km</v>
      </c>
      <c r="I43" s="53">
        <f>'2 lentelė'!$G43</f>
        <v>1.0089999999999999</v>
      </c>
      <c r="J43" s="53">
        <v>1.0089999999999999</v>
      </c>
      <c r="K43" s="155">
        <v>1.0089999999999999</v>
      </c>
      <c r="L43" s="133" t="str">
        <f>'2 lentelė'!$H43</f>
        <v>P.S.342</v>
      </c>
      <c r="M43" s="32" t="str">
        <f>'2 lentelė'!$I43</f>
        <v>Įdiegtos saugų eismų gerinančios ir aplinkosaugos priemonės, vnt.</v>
      </c>
      <c r="N43" s="32">
        <f>'2 lentelė'!$J43</f>
        <v>4</v>
      </c>
      <c r="O43" s="32">
        <v>4</v>
      </c>
      <c r="P43" s="134">
        <v>4</v>
      </c>
      <c r="Q43" s="135" t="str">
        <f>'2 lentelė'!$K43</f>
        <v>P.N.508</v>
      </c>
      <c r="R43" s="29" t="str">
        <f>'2 lentelė'!$L43</f>
        <v>Bendras naujai nutiestų kelių ilgis, km.</v>
      </c>
      <c r="S43" s="29">
        <f>'2 lentelė'!$M43</f>
        <v>0.23599999999999999</v>
      </c>
      <c r="T43" s="53">
        <v>0.23599999999999999</v>
      </c>
      <c r="U43" s="155">
        <v>0.23599999999999999</v>
      </c>
      <c r="V43" s="137"/>
      <c r="W43" s="37"/>
      <c r="X43" s="29"/>
      <c r="Y43" s="54"/>
      <c r="Z43" s="139"/>
      <c r="AA43" s="138"/>
      <c r="AB43" s="54"/>
      <c r="AC43" s="54"/>
      <c r="AD43" s="74"/>
      <c r="AE43" s="149"/>
      <c r="AF43" s="138"/>
      <c r="AG43" s="54"/>
      <c r="AH43" s="54"/>
      <c r="AI43" s="74"/>
      <c r="AJ43" s="140"/>
      <c r="AK43" s="6"/>
    </row>
    <row r="44" spans="2:41" ht="90" customHeight="1" x14ac:dyDescent="0.25">
      <c r="B44" s="35" t="str">
        <f>'1 lentelė'!$B44</f>
        <v>1.2.1.1.4</v>
      </c>
      <c r="C44" s="35" t="str">
        <f>'1 lentelė'!$C44</f>
        <v>R095511-120000-1204</v>
      </c>
      <c r="D44" s="35" t="str">
        <f>'1 lentelė'!$D44</f>
        <v>Gyvenamosios aplinkos pasiekiamumo gerinimas Zarasų mieste rekonstruojant K. Donelaičio gatvę</v>
      </c>
      <c r="E44" s="35" t="s">
        <v>65</v>
      </c>
      <c r="F44" s="132" t="s">
        <v>942</v>
      </c>
      <c r="G44" s="133" t="str">
        <f>'2 lentelė'!$E44</f>
        <v>P.B.214</v>
      </c>
      <c r="H44" s="32" t="str">
        <f>'2 lentelė'!$F44</f>
        <v>Bendras rekonstruotų arba atnaujintų kelių ilgis, km</v>
      </c>
      <c r="I44" s="32">
        <f>'2 lentelė'!$G44</f>
        <v>1.23</v>
      </c>
      <c r="J44" s="32">
        <v>1.23</v>
      </c>
      <c r="K44" s="134">
        <v>1.23</v>
      </c>
      <c r="L44" s="133" t="str">
        <f>'2 lentelė'!$H44</f>
        <v>P.S.342</v>
      </c>
      <c r="M44" s="32" t="str">
        <f>'2 lentelė'!$I44</f>
        <v>Įdiegtos saugų eismų gerinančios ir aplinkosaugos priemonės, vnt.</v>
      </c>
      <c r="N44" s="32">
        <f>'2 lentelė'!$J44</f>
        <v>1</v>
      </c>
      <c r="O44" s="32">
        <v>1</v>
      </c>
      <c r="P44" s="134">
        <v>1</v>
      </c>
      <c r="Q44" s="135"/>
      <c r="R44" s="29"/>
      <c r="S44" s="29"/>
      <c r="T44" s="32"/>
      <c r="U44" s="134"/>
      <c r="V44" s="137"/>
      <c r="W44" s="37"/>
      <c r="X44" s="29"/>
      <c r="Y44" s="29"/>
      <c r="Z44" s="136"/>
      <c r="AA44" s="138"/>
      <c r="AB44" s="54"/>
      <c r="AC44" s="54"/>
      <c r="AD44" s="74"/>
      <c r="AE44" s="149"/>
      <c r="AF44" s="138"/>
      <c r="AG44" s="54"/>
      <c r="AH44" s="54"/>
      <c r="AI44" s="74"/>
      <c r="AJ44" s="140"/>
      <c r="AK44" s="6"/>
    </row>
    <row r="45" spans="2:41" ht="78.75" customHeight="1" x14ac:dyDescent="0.25">
      <c r="B45" s="35" t="str">
        <f>'1 lentelė'!$B45</f>
        <v>1.2.1.1.5</v>
      </c>
      <c r="C45" s="35" t="str">
        <f>'1 lentelė'!$C45</f>
        <v>R095511-120000-1205</v>
      </c>
      <c r="D45" s="35" t="str">
        <f>'1 lentelė'!$D45</f>
        <v xml:space="preserve">Molėtų miesto Pastovio g., Siesarties g. ir S. Nėries g. rekonstrukcija </v>
      </c>
      <c r="E45" s="35" t="s">
        <v>65</v>
      </c>
      <c r="F45" s="132" t="s">
        <v>943</v>
      </c>
      <c r="G45" s="133" t="str">
        <f>'2 lentelė'!$E45</f>
        <v>P.B.214</v>
      </c>
      <c r="H45" s="32" t="str">
        <f>'2 lentelė'!$F45</f>
        <v>Bendras rekonstruotų arba atnaujintų kelių ilgis, km</v>
      </c>
      <c r="I45" s="32">
        <f>'2 lentelė'!$G45</f>
        <v>0.71</v>
      </c>
      <c r="J45" s="32">
        <v>0.71</v>
      </c>
      <c r="K45" s="134">
        <v>0.71</v>
      </c>
      <c r="L45" s="133" t="str">
        <f>'2 lentelė'!$H45</f>
        <v>P.S.342</v>
      </c>
      <c r="M45" s="32" t="str">
        <f>'2 lentelė'!$I45</f>
        <v>Įdiegtos saugų eismų gerinančios ir aplinkosaugos priemonės, vnt.</v>
      </c>
      <c r="N45" s="32">
        <f>'2 lentelė'!$J45</f>
        <v>1</v>
      </c>
      <c r="O45" s="32">
        <v>1</v>
      </c>
      <c r="P45" s="134">
        <v>1</v>
      </c>
      <c r="Q45" s="135"/>
      <c r="R45" s="29"/>
      <c r="S45" s="29"/>
      <c r="T45" s="32"/>
      <c r="U45" s="134"/>
      <c r="V45" s="137"/>
      <c r="W45" s="37"/>
      <c r="X45" s="29"/>
      <c r="Y45" s="29"/>
      <c r="Z45" s="136"/>
      <c r="AA45" s="138"/>
      <c r="AB45" s="54"/>
      <c r="AC45" s="54"/>
      <c r="AD45" s="74"/>
      <c r="AE45" s="149"/>
      <c r="AF45" s="138"/>
      <c r="AG45" s="54"/>
      <c r="AH45" s="54"/>
      <c r="AI45" s="74"/>
      <c r="AJ45" s="140"/>
      <c r="AK45" s="6"/>
    </row>
    <row r="46" spans="2:41" ht="104.25" customHeight="1" x14ac:dyDescent="0.25">
      <c r="B46" s="35" t="str">
        <f>'1 lentelė'!$B46</f>
        <v>1.2.1.1.6</v>
      </c>
      <c r="C46" s="35" t="str">
        <f>'1 lentelė'!$C46</f>
        <v>R095511-120000-1206</v>
      </c>
      <c r="D46" s="35" t="str">
        <f>'1 lentelė'!$D46</f>
        <v xml:space="preserve">Aušros gatvės dalies nuo Gedimino ir Tauragnų gatvių sankryžos iki Žaliosios gatvės Utenoje rekonstrukcija. </v>
      </c>
      <c r="E46" s="35" t="s">
        <v>65</v>
      </c>
      <c r="F46" s="132" t="s">
        <v>944</v>
      </c>
      <c r="G46" s="133" t="str">
        <f>'2 lentelė'!$E46</f>
        <v>P.B.214</v>
      </c>
      <c r="H46" s="32" t="str">
        <f>'2 lentelė'!$F46</f>
        <v>Bendras rekonstruotų arba atnaujintų kelių ilgis, km</v>
      </c>
      <c r="I46" s="32">
        <f>'2 lentelė'!$G46</f>
        <v>0.76</v>
      </c>
      <c r="J46" s="32">
        <v>0.76</v>
      </c>
      <c r="K46" s="134">
        <v>0</v>
      </c>
      <c r="L46" s="133" t="str">
        <f>'2 lentelė'!$H46</f>
        <v>P.S.342</v>
      </c>
      <c r="M46" s="32" t="str">
        <f>'2 lentelė'!$I46</f>
        <v>Įdiegtos saugų eismų gerinančios ir aplinkosaugos priemonės, vnt.</v>
      </c>
      <c r="N46" s="32">
        <f>'2 lentelė'!$J46</f>
        <v>1</v>
      </c>
      <c r="O46" s="32">
        <v>1</v>
      </c>
      <c r="P46" s="134">
        <v>0</v>
      </c>
      <c r="Q46" s="135"/>
      <c r="R46" s="29"/>
      <c r="S46" s="29"/>
      <c r="T46" s="29"/>
      <c r="U46" s="136"/>
      <c r="V46" s="137"/>
      <c r="W46" s="37"/>
      <c r="X46" s="29"/>
      <c r="Y46" s="29"/>
      <c r="Z46" s="136"/>
      <c r="AA46" s="138"/>
      <c r="AB46" s="54"/>
      <c r="AC46" s="54"/>
      <c r="AD46" s="74"/>
      <c r="AE46" s="149"/>
      <c r="AF46" s="138"/>
      <c r="AG46" s="54"/>
      <c r="AH46" s="54"/>
      <c r="AI46" s="74"/>
      <c r="AJ46" s="140"/>
      <c r="AK46" s="6"/>
    </row>
    <row r="47" spans="2:41" ht="68.25" customHeight="1" x14ac:dyDescent="0.25">
      <c r="B47" s="35" t="str">
        <f>'1 lentelė'!$B47</f>
        <v>1.2.1.1.7</v>
      </c>
      <c r="C47" s="35" t="str">
        <f>'1 lentelė'!$C47</f>
        <v>R095511-120000-1207</v>
      </c>
      <c r="D47" s="35" t="str">
        <f>'1 lentelė'!$D47</f>
        <v>Vietinės reikšmės kelio Visagino-Parko-Sedulinos al. kvartale rekonstravimas</v>
      </c>
      <c r="E47" s="35" t="s">
        <v>65</v>
      </c>
      <c r="F47" s="146" t="s">
        <v>945</v>
      </c>
      <c r="G47" s="133" t="str">
        <f>'2 lentelė'!$E47</f>
        <v>P.B.214</v>
      </c>
      <c r="H47" s="32" t="str">
        <f>'2 lentelė'!$F47</f>
        <v xml:space="preserve">Bendras rekonstruotų arba atnaujintų kelių ilgis“, km </v>
      </c>
      <c r="I47" s="32">
        <f>'2 lentelė'!$G47</f>
        <v>1.36</v>
      </c>
      <c r="J47" s="32">
        <v>1.36</v>
      </c>
      <c r="K47" s="134">
        <v>0</v>
      </c>
      <c r="L47" s="133" t="str">
        <f>'2 lentelė'!$H47</f>
        <v>P.S.342</v>
      </c>
      <c r="M47" s="32" t="str">
        <f>'2 lentelė'!$I47</f>
        <v>Įdiegtos saugų eismų gerinančios ir aplinkosaugos priemonės, vnt.</v>
      </c>
      <c r="N47" s="32">
        <f>'2 lentelė'!$J47</f>
        <v>1</v>
      </c>
      <c r="O47" s="29">
        <v>1</v>
      </c>
      <c r="P47" s="136">
        <v>0</v>
      </c>
      <c r="Q47" s="135"/>
      <c r="R47" s="29"/>
      <c r="S47" s="29"/>
      <c r="T47" s="29"/>
      <c r="U47" s="136"/>
      <c r="V47" s="137"/>
      <c r="W47" s="37"/>
      <c r="X47" s="29"/>
      <c r="Y47" s="29"/>
      <c r="Z47" s="136"/>
      <c r="AA47" s="138"/>
      <c r="AB47" s="54"/>
      <c r="AC47" s="54"/>
      <c r="AD47" s="74"/>
      <c r="AE47" s="149"/>
      <c r="AF47" s="138"/>
      <c r="AG47" s="54"/>
      <c r="AH47" s="54"/>
      <c r="AI47" s="74"/>
      <c r="AJ47" s="140"/>
      <c r="AK47" s="6"/>
    </row>
    <row r="48" spans="2:41" ht="106.5" customHeight="1" x14ac:dyDescent="0.25">
      <c r="B48" s="35" t="str">
        <f>'1 lentelė'!$B48</f>
        <v>1.2.1.1.8</v>
      </c>
      <c r="C48" s="35" t="str">
        <f>'1 lentelė'!$C48</f>
        <v>R095511-120000-1208</v>
      </c>
      <c r="D48" s="35" t="str">
        <f>'1 lentelė'!$D48</f>
        <v>Gyvenamosios aplinkos pasiekiamumo gerinimas Zarasų mieste rekonstruojant E. Pliaterytės gatvę</v>
      </c>
      <c r="E48" s="29" t="s">
        <v>65</v>
      </c>
      <c r="F48" s="146" t="s">
        <v>1473</v>
      </c>
      <c r="G48" s="133" t="str">
        <f>'2 lentelė'!$E48</f>
        <v>P.B.214</v>
      </c>
      <c r="H48" s="32" t="str">
        <f>'2 lentelė'!$F48</f>
        <v>Bendras rekonstruotų arba atnaujintų kelių ilgis, km</v>
      </c>
      <c r="I48" s="32">
        <f>'2 lentelė'!$G48</f>
        <v>0.14000000000000001</v>
      </c>
      <c r="J48" s="29">
        <v>0.14000000000000001</v>
      </c>
      <c r="K48" s="136">
        <v>0</v>
      </c>
      <c r="L48" s="133"/>
      <c r="M48" s="32"/>
      <c r="N48" s="32"/>
      <c r="O48" s="29"/>
      <c r="P48" s="136"/>
      <c r="Q48" s="135"/>
      <c r="R48" s="29"/>
      <c r="S48" s="29"/>
      <c r="T48" s="29"/>
      <c r="U48" s="136"/>
      <c r="V48" s="137"/>
      <c r="W48" s="37"/>
      <c r="X48" s="29"/>
      <c r="Y48" s="29"/>
      <c r="Z48" s="136"/>
      <c r="AA48" s="138"/>
      <c r="AB48" s="54"/>
      <c r="AC48" s="54"/>
      <c r="AD48" s="74"/>
      <c r="AE48" s="149"/>
      <c r="AF48" s="138"/>
      <c r="AG48" s="54"/>
      <c r="AH48" s="54"/>
      <c r="AI48" s="74"/>
      <c r="AJ48" s="140"/>
      <c r="AK48" s="6"/>
    </row>
    <row r="49" spans="2:37" ht="123" customHeight="1" x14ac:dyDescent="0.25">
      <c r="B49" s="35" t="str">
        <f>'1 lentelė'!$B49</f>
        <v>1.2.1.1.9</v>
      </c>
      <c r="C49" s="35" t="str">
        <f>'1 lentelė'!$C49</f>
        <v>R095511-120000-1220</v>
      </c>
      <c r="D49" s="35" t="str">
        <f>'1 lentelė'!$D49</f>
        <v>Eismo sąlygų pagerinimas ir gyvenamosios aplinkos pasiekiamumo užtikrinimas, rekonstruojant Žvejų gatvę Anykščių mieste</v>
      </c>
      <c r="E49" s="35" t="s">
        <v>65</v>
      </c>
      <c r="F49" s="146" t="s">
        <v>1474</v>
      </c>
      <c r="G49" s="133">
        <f>'2 lentelė'!$E49</f>
        <v>0</v>
      </c>
      <c r="H49" s="32">
        <f>'2 lentelė'!$F49</f>
        <v>0</v>
      </c>
      <c r="I49" s="32">
        <f>'2 lentelė'!$G49</f>
        <v>0</v>
      </c>
      <c r="J49" s="55">
        <v>0</v>
      </c>
      <c r="K49" s="156">
        <v>0</v>
      </c>
      <c r="L49" s="133" t="str">
        <f>'2 lentelė'!$H49</f>
        <v>P.S.342</v>
      </c>
      <c r="M49" s="32" t="str">
        <f>'2 lentelė'!$I49</f>
        <v>Įdiegtos saugų eismų gerinančios ir aplinkosaugos priemonės, vnt.</v>
      </c>
      <c r="N49" s="32">
        <f>'2 lentelė'!$J49</f>
        <v>1</v>
      </c>
      <c r="O49" s="29">
        <v>0</v>
      </c>
      <c r="P49" s="136">
        <v>0</v>
      </c>
      <c r="Q49" s="135"/>
      <c r="R49" s="29"/>
      <c r="S49" s="29"/>
      <c r="T49" s="29"/>
      <c r="U49" s="136"/>
      <c r="V49" s="137"/>
      <c r="W49" s="37"/>
      <c r="X49" s="29"/>
      <c r="Y49" s="29"/>
      <c r="Z49" s="136"/>
      <c r="AA49" s="138"/>
      <c r="AB49" s="54"/>
      <c r="AC49" s="54"/>
      <c r="AD49" s="74"/>
      <c r="AE49" s="149"/>
      <c r="AF49" s="138"/>
      <c r="AG49" s="54"/>
      <c r="AH49" s="54"/>
      <c r="AI49" s="74"/>
      <c r="AJ49" s="140"/>
      <c r="AK49" s="6"/>
    </row>
    <row r="50" spans="2:37" ht="63.75" customHeight="1" x14ac:dyDescent="0.25">
      <c r="B50" s="35" t="str">
        <f>'1 lentelė'!$B50</f>
        <v>1.2.1.1.10</v>
      </c>
      <c r="C50" s="35" t="str">
        <f>'1 lentelė'!$C50</f>
        <v>R095511-120000-1221</v>
      </c>
      <c r="D50" s="35" t="str">
        <f>'1 lentelė'!$D50</f>
        <v>Ignalinos miesto Ligoninės gatvės dalies rekonstrukcija</v>
      </c>
      <c r="E50" s="37" t="s">
        <v>65</v>
      </c>
      <c r="F50" s="157" t="s">
        <v>66</v>
      </c>
      <c r="G50" s="133" t="str">
        <f>'2 lentelė'!$E50</f>
        <v>P.B.214</v>
      </c>
      <c r="H50" s="32" t="str">
        <f>'2 lentelė'!$F50</f>
        <v>Bendras rekonstruotų arba atnaujintų kelių ilgis, km</v>
      </c>
      <c r="I50" s="32">
        <f>'2 lentelė'!$G50</f>
        <v>0.2</v>
      </c>
      <c r="J50" s="55">
        <v>0</v>
      </c>
      <c r="K50" s="156">
        <v>0</v>
      </c>
      <c r="L50" s="133"/>
      <c r="M50" s="32"/>
      <c r="N50" s="32"/>
      <c r="O50" s="29"/>
      <c r="P50" s="136"/>
      <c r="Q50" s="135"/>
      <c r="R50" s="29"/>
      <c r="S50" s="29"/>
      <c r="T50" s="29"/>
      <c r="U50" s="136"/>
      <c r="V50" s="137"/>
      <c r="W50" s="37"/>
      <c r="X50" s="29"/>
      <c r="Y50" s="29"/>
      <c r="Z50" s="136"/>
      <c r="AA50" s="138"/>
      <c r="AB50" s="54"/>
      <c r="AC50" s="54"/>
      <c r="AD50" s="74"/>
      <c r="AE50" s="149"/>
      <c r="AF50" s="138"/>
      <c r="AG50" s="54"/>
      <c r="AH50" s="54"/>
      <c r="AI50" s="74"/>
      <c r="AJ50" s="140"/>
      <c r="AK50" s="6"/>
    </row>
    <row r="51" spans="2:37" ht="67.5" customHeight="1" x14ac:dyDescent="0.25">
      <c r="B51" s="35" t="str">
        <f>'1 lentelė'!$B51</f>
        <v>1.2.1.1.11</v>
      </c>
      <c r="C51" s="35" t="str">
        <f>'1 lentelė'!$C51</f>
        <v>R095511-120000-1222</v>
      </c>
      <c r="D51" s="35" t="str">
        <f>'1 lentelė'!$D51</f>
        <v>Saugaus eismo priemonių diegimas Ignalinos rajono keliuose</v>
      </c>
      <c r="E51" s="29" t="s">
        <v>66</v>
      </c>
      <c r="F51" s="157" t="s">
        <v>66</v>
      </c>
      <c r="G51" s="133" t="str">
        <f>'2 lentelė'!$E51</f>
        <v>P.S.342</v>
      </c>
      <c r="H51" s="32" t="str">
        <f>'2 lentelė'!$F51</f>
        <v>Įdiegtos saugų eismų gerinančios ir aplinkosaugos priemonės, vnt.</v>
      </c>
      <c r="I51" s="32">
        <f>'2 lentelė'!$G51</f>
        <v>1</v>
      </c>
      <c r="J51" s="29">
        <v>0</v>
      </c>
      <c r="K51" s="136">
        <v>0</v>
      </c>
      <c r="L51" s="133"/>
      <c r="M51" s="32"/>
      <c r="N51" s="32"/>
      <c r="O51" s="29"/>
      <c r="P51" s="136"/>
      <c r="Q51" s="135"/>
      <c r="R51" s="29"/>
      <c r="S51" s="29"/>
      <c r="T51" s="29"/>
      <c r="U51" s="136"/>
      <c r="V51" s="137"/>
      <c r="W51" s="37"/>
      <c r="X51" s="29"/>
      <c r="Y51" s="29"/>
      <c r="Z51" s="136"/>
      <c r="AA51" s="138"/>
      <c r="AB51" s="54"/>
      <c r="AC51" s="54"/>
      <c r="AD51" s="74"/>
      <c r="AE51" s="149"/>
      <c r="AF51" s="138"/>
      <c r="AG51" s="54"/>
      <c r="AH51" s="54"/>
      <c r="AI51" s="74"/>
      <c r="AJ51" s="140"/>
      <c r="AK51" s="6"/>
    </row>
    <row r="52" spans="2:37" ht="77.25" customHeight="1" x14ac:dyDescent="0.25">
      <c r="B52" s="35" t="str">
        <f>'1 lentelė'!$B52</f>
        <v>1.2.1.1.12</v>
      </c>
      <c r="C52" s="35" t="str">
        <f>'1 lentelė'!$C52</f>
        <v>R095511-120000-1223</v>
      </c>
      <c r="D52" s="35" t="str">
        <f>'1 lentelė'!$D52</f>
        <v>Saugaus eismo priemonių diegimas Molėtų rajono  Giedraičių miestelyje</v>
      </c>
      <c r="E52" s="37" t="s">
        <v>66</v>
      </c>
      <c r="F52" s="157" t="s">
        <v>1475</v>
      </c>
      <c r="G52" s="133" t="str">
        <f>'2 lentelė'!$E52</f>
        <v>P.S.342</v>
      </c>
      <c r="H52" s="32" t="str">
        <f>'2 lentelė'!$F52</f>
        <v>Įdiegtos saugų eismų gerinančios ir aplinkosaugos priemonės, vnt.</v>
      </c>
      <c r="I52" s="32">
        <f>'2 lentelė'!$G52</f>
        <v>1</v>
      </c>
      <c r="J52" s="29">
        <v>0</v>
      </c>
      <c r="K52" s="136">
        <v>0</v>
      </c>
      <c r="L52" s="133"/>
      <c r="M52" s="32"/>
      <c r="N52" s="32"/>
      <c r="O52" s="29"/>
      <c r="P52" s="136"/>
      <c r="Q52" s="135"/>
      <c r="R52" s="29"/>
      <c r="S52" s="29"/>
      <c r="T52" s="29"/>
      <c r="U52" s="136"/>
      <c r="V52" s="137"/>
      <c r="W52" s="37"/>
      <c r="X52" s="29"/>
      <c r="Y52" s="29"/>
      <c r="Z52" s="136"/>
      <c r="AA52" s="138"/>
      <c r="AB52" s="54"/>
      <c r="AC52" s="54"/>
      <c r="AD52" s="74"/>
      <c r="AE52" s="149"/>
      <c r="AF52" s="138"/>
      <c r="AG52" s="54"/>
      <c r="AH52" s="54"/>
      <c r="AI52" s="74"/>
      <c r="AJ52" s="140"/>
      <c r="AK52" s="6"/>
    </row>
    <row r="53" spans="2:37" ht="81.75" customHeight="1" x14ac:dyDescent="0.25">
      <c r="B53" s="35" t="str">
        <f>'1 lentelė'!$B53</f>
        <v>1.2.1.1.14</v>
      </c>
      <c r="C53" s="35" t="str">
        <f>'1 lentelė'!$C53</f>
        <v>R095511-120000-1225</v>
      </c>
      <c r="D53" s="35" t="str">
        <f>'1 lentelė'!$D53</f>
        <v>Saugaus eismo priemonių diegimas Žemaitės gatvėje Zarasų mieste</v>
      </c>
      <c r="E53" s="35" t="s">
        <v>66</v>
      </c>
      <c r="F53" s="146" t="s">
        <v>66</v>
      </c>
      <c r="G53" s="133" t="str">
        <f>'2 lentelė'!$E53</f>
        <v>P.S.342</v>
      </c>
      <c r="H53" s="32" t="str">
        <f>'2 lentelė'!$F53</f>
        <v>Įdiegtos saugų eismų gerinančios ir aplinkosaugos priemonės, vnt.</v>
      </c>
      <c r="I53" s="32">
        <f>'2 lentelė'!$G53</f>
        <v>1</v>
      </c>
      <c r="J53" s="29">
        <v>0</v>
      </c>
      <c r="K53" s="136">
        <v>0</v>
      </c>
      <c r="L53" s="261"/>
      <c r="M53" s="262"/>
      <c r="N53" s="262"/>
      <c r="O53" s="256"/>
      <c r="P53" s="263"/>
      <c r="Q53" s="135"/>
      <c r="R53" s="29"/>
      <c r="S53" s="29"/>
      <c r="T53" s="29"/>
      <c r="U53" s="136"/>
      <c r="V53" s="137"/>
      <c r="W53" s="37"/>
      <c r="X53" s="29"/>
      <c r="Y53" s="29"/>
      <c r="Z53" s="136"/>
      <c r="AA53" s="138"/>
      <c r="AB53" s="54"/>
      <c r="AC53" s="54"/>
      <c r="AD53" s="74"/>
      <c r="AE53" s="149"/>
      <c r="AF53" s="138"/>
      <c r="AG53" s="54"/>
      <c r="AH53" s="54"/>
      <c r="AI53" s="74"/>
      <c r="AJ53" s="140"/>
      <c r="AK53" s="6"/>
    </row>
    <row r="54" spans="2:37" ht="106.5" customHeight="1" x14ac:dyDescent="0.25">
      <c r="B54" s="49" t="str">
        <f>'1 lentelė'!$B54</f>
        <v xml:space="preserve">1.2.2 </v>
      </c>
      <c r="C54" s="49"/>
      <c r="D54" s="48" t="str">
        <f>'1 lentelė'!$D54</f>
        <v>Uždavinys: Plėtoti  aplinką tausojančią ir eismo saugą didinančią infrastruktūrą ir priemones bei darnų judumą</v>
      </c>
      <c r="E54" s="49"/>
      <c r="F54" s="158"/>
      <c r="G54" s="49"/>
      <c r="H54" s="49"/>
      <c r="I54" s="49"/>
      <c r="J54" s="49"/>
      <c r="K54" s="158"/>
      <c r="L54" s="49"/>
      <c r="M54" s="49"/>
      <c r="N54" s="49"/>
      <c r="O54" s="49"/>
      <c r="P54" s="158"/>
      <c r="Q54" s="259"/>
      <c r="R54" s="49"/>
      <c r="S54" s="49"/>
      <c r="T54" s="49"/>
      <c r="U54" s="158"/>
      <c r="V54" s="49"/>
      <c r="W54" s="49"/>
      <c r="X54" s="49"/>
      <c r="Y54" s="49"/>
      <c r="Z54" s="158"/>
      <c r="AA54" s="49"/>
      <c r="AB54" s="49"/>
      <c r="AC54" s="49"/>
      <c r="AD54" s="49"/>
      <c r="AE54" s="158"/>
      <c r="AF54" s="49"/>
      <c r="AG54" s="49"/>
      <c r="AH54" s="49"/>
      <c r="AI54" s="49"/>
      <c r="AJ54" s="158"/>
      <c r="AK54" s="6"/>
    </row>
    <row r="55" spans="2:37" ht="69.75" customHeight="1" x14ac:dyDescent="0.25">
      <c r="B55" s="50" t="str">
        <f>'1 lentelė'!$B55</f>
        <v>1.2.2.1</v>
      </c>
      <c r="C55" s="50"/>
      <c r="D55" s="90" t="str">
        <f>'1 lentelė'!$D55</f>
        <v>Priemonė: Pėsčiųjų ir dviračių takų rekonstrukcija ir plėtra</v>
      </c>
      <c r="E55" s="50"/>
      <c r="F55" s="152"/>
      <c r="G55" s="50"/>
      <c r="H55" s="50"/>
      <c r="I55" s="50"/>
      <c r="J55" s="50"/>
      <c r="K55" s="152"/>
      <c r="L55" s="50"/>
      <c r="M55" s="50"/>
      <c r="N55" s="50"/>
      <c r="O55" s="50"/>
      <c r="P55" s="152"/>
      <c r="Q55" s="260"/>
      <c r="R55" s="50"/>
      <c r="S55" s="50"/>
      <c r="T55" s="50"/>
      <c r="U55" s="152"/>
      <c r="V55" s="50"/>
      <c r="W55" s="50"/>
      <c r="X55" s="50"/>
      <c r="Y55" s="50"/>
      <c r="Z55" s="152"/>
      <c r="AA55" s="50"/>
      <c r="AB55" s="50"/>
      <c r="AC55" s="50"/>
      <c r="AD55" s="50"/>
      <c r="AE55" s="152"/>
      <c r="AF55" s="50"/>
      <c r="AG55" s="50"/>
      <c r="AH55" s="50"/>
      <c r="AI55" s="50"/>
      <c r="AJ55" s="152"/>
      <c r="AK55" s="6"/>
    </row>
    <row r="56" spans="2:37" ht="24.75" customHeight="1" x14ac:dyDescent="0.25">
      <c r="B56" s="35"/>
      <c r="C56" s="35"/>
      <c r="D56" s="35"/>
      <c r="E56" s="35"/>
      <c r="F56" s="146"/>
      <c r="G56" s="133"/>
      <c r="H56" s="32"/>
      <c r="I56" s="32"/>
      <c r="J56" s="29"/>
      <c r="K56" s="136"/>
      <c r="L56" s="264"/>
      <c r="M56" s="265"/>
      <c r="N56" s="265"/>
      <c r="O56" s="78"/>
      <c r="P56" s="178"/>
      <c r="Q56" s="135"/>
      <c r="R56" s="29"/>
      <c r="S56" s="29"/>
      <c r="T56" s="29"/>
      <c r="U56" s="136"/>
      <c r="V56" s="137"/>
      <c r="W56" s="37"/>
      <c r="X56" s="29"/>
      <c r="Y56" s="29"/>
      <c r="Z56" s="136"/>
      <c r="AA56" s="138"/>
      <c r="AB56" s="54"/>
      <c r="AC56" s="54"/>
      <c r="AD56" s="74"/>
      <c r="AE56" s="149"/>
      <c r="AF56" s="138"/>
      <c r="AG56" s="54"/>
      <c r="AH56" s="54"/>
      <c r="AI56" s="74"/>
      <c r="AJ56" s="140"/>
      <c r="AK56" s="6"/>
    </row>
    <row r="57" spans="2:37" ht="141.75" customHeight="1" x14ac:dyDescent="0.25">
      <c r="B57" s="35" t="str">
        <f>'1 lentelė'!$B57</f>
        <v>1.2.2.1.3</v>
      </c>
      <c r="C57" s="35" t="str">
        <f>'1 lentelė'!$C57</f>
        <v>R095516-190000-1210</v>
      </c>
      <c r="D57" s="35" t="str">
        <f>'1 lentelė'!$D57</f>
        <v>Dviračių ir pėsčiųjų takų tinklo palei Ąžuolų g. iki mokyklų komplekso plėtra didinant atskirų Molėtų miesto teritorijų tarpusavio integraciją</v>
      </c>
      <c r="E57" s="35" t="s">
        <v>65</v>
      </c>
      <c r="F57" s="146" t="s">
        <v>946</v>
      </c>
      <c r="G57" s="133" t="str">
        <f>'2 lentelė'!$E57</f>
        <v>P.S.321</v>
      </c>
      <c r="H57" s="32" t="str">
        <f>'2 lentelė'!$F57</f>
        <v>Įrengtų naujų dviračių ir / ar pėsčiųjų takų ir / ar trasų ilgis, km</v>
      </c>
      <c r="I57" s="32">
        <f>'2 lentelė'!$G57</f>
        <v>0.18</v>
      </c>
      <c r="J57" s="32">
        <v>0.18</v>
      </c>
      <c r="K57" s="134">
        <v>0</v>
      </c>
      <c r="L57" s="133" t="str">
        <f>'2 lentelė'!$H57</f>
        <v>P.S.322</v>
      </c>
      <c r="M57" s="32" t="str">
        <f>'2 lentelė'!$I57</f>
        <v>Rekonstruotų dviračių ir / ar pėsčiųjų takų ir / ar trasų ilgis, km</v>
      </c>
      <c r="N57" s="32">
        <f>'2 lentelė'!$J57</f>
        <v>0.81</v>
      </c>
      <c r="O57" s="55">
        <v>0.81</v>
      </c>
      <c r="P57" s="277">
        <v>0</v>
      </c>
      <c r="Q57" s="135"/>
      <c r="R57" s="29"/>
      <c r="S57" s="29"/>
      <c r="T57" s="29"/>
      <c r="U57" s="136"/>
      <c r="V57" s="137"/>
      <c r="W57" s="37"/>
      <c r="X57" s="29"/>
      <c r="Y57" s="29"/>
      <c r="Z57" s="136"/>
      <c r="AA57" s="138"/>
      <c r="AB57" s="54"/>
      <c r="AC57" s="54"/>
      <c r="AD57" s="74"/>
      <c r="AE57" s="149"/>
      <c r="AF57" s="138"/>
      <c r="AG57" s="54"/>
      <c r="AH57" s="54"/>
      <c r="AI57" s="74"/>
      <c r="AJ57" s="140"/>
      <c r="AK57" s="6"/>
    </row>
    <row r="58" spans="2:37" ht="106.5" customHeight="1" x14ac:dyDescent="0.25">
      <c r="B58" s="35" t="str">
        <f>'1 lentelė'!$B58</f>
        <v>1.2.2.1.4</v>
      </c>
      <c r="C58" s="35" t="str">
        <f>'1 lentelė'!$C58</f>
        <v>R095516-190000-1211</v>
      </c>
      <c r="D58" s="35" t="str">
        <f>'1 lentelė'!$D58</f>
        <v>Dviračių ir pėsčiųjų takų infrastruktūros Utenos mieste plėtra, siekiant pagerinti Pramonės rajono pasiekiamumą.</v>
      </c>
      <c r="E58" s="35" t="s">
        <v>65</v>
      </c>
      <c r="F58" s="146" t="s">
        <v>947</v>
      </c>
      <c r="G58" s="133" t="str">
        <f>'2 lentelė'!$E58</f>
        <v>P.S.322</v>
      </c>
      <c r="H58" s="32" t="str">
        <f>'2 lentelė'!$F58</f>
        <v> Rekonstruotų dviračių ir/ar pėsčiųjų takų ir/ar trasų ilgis, km</v>
      </c>
      <c r="I58" s="32">
        <f>'2 lentelė'!$G58</f>
        <v>0.85</v>
      </c>
      <c r="J58" s="55">
        <v>0.85</v>
      </c>
      <c r="K58" s="156">
        <v>0.85</v>
      </c>
      <c r="L58" s="133"/>
      <c r="M58" s="32"/>
      <c r="N58" s="32"/>
      <c r="O58" s="29"/>
      <c r="P58" s="136"/>
      <c r="Q58" s="135"/>
      <c r="R58" s="29"/>
      <c r="S58" s="29"/>
      <c r="T58" s="29"/>
      <c r="U58" s="136"/>
      <c r="V58" s="137"/>
      <c r="W58" s="37"/>
      <c r="X58" s="29"/>
      <c r="Y58" s="29"/>
      <c r="Z58" s="136"/>
      <c r="AA58" s="138"/>
      <c r="AB58" s="54"/>
      <c r="AC58" s="54"/>
      <c r="AD58" s="74"/>
      <c r="AE58" s="149"/>
      <c r="AF58" s="138"/>
      <c r="AG58" s="54"/>
      <c r="AH58" s="54"/>
      <c r="AI58" s="74"/>
      <c r="AJ58" s="140"/>
      <c r="AK58" s="6"/>
    </row>
    <row r="59" spans="2:37" ht="90.75" customHeight="1" x14ac:dyDescent="0.25">
      <c r="B59" s="35" t="str">
        <f>'1 lentelė'!$B59</f>
        <v xml:space="preserve">1.2.2.1.5 </v>
      </c>
      <c r="C59" s="35" t="str">
        <f>'1 lentelė'!$C59</f>
        <v>R095516-190000-1212</v>
      </c>
      <c r="D59" s="35" t="str">
        <f>'1 lentelė'!$D59</f>
        <v xml:space="preserve">Pėsčiųjų ir dviračių takų plėtra Griežto ežero pakrantėje nuo Vytauto gatvės iki Griežto gatvės </v>
      </c>
      <c r="E59" s="35" t="s">
        <v>30</v>
      </c>
      <c r="F59" s="146" t="s">
        <v>948</v>
      </c>
      <c r="G59" s="133" t="str">
        <f>'2 lentelė'!$E59</f>
        <v>P.S.321</v>
      </c>
      <c r="H59" s="32" t="str">
        <f>'2 lentelė'!$F59</f>
        <v>Įrengtų naujų dviračių / ir / ar pėsčiųjų takų ir / ar trasų ilgis, km</v>
      </c>
      <c r="I59" s="32">
        <f>'2 lentelė'!$G59</f>
        <v>0.55000000000000004</v>
      </c>
      <c r="J59" s="32">
        <v>0.55000000000000004</v>
      </c>
      <c r="K59" s="134">
        <v>0</v>
      </c>
      <c r="L59" s="133"/>
      <c r="M59" s="32"/>
      <c r="N59" s="32"/>
      <c r="O59" s="29"/>
      <c r="P59" s="136"/>
      <c r="Q59" s="135"/>
      <c r="R59" s="29"/>
      <c r="S59" s="29"/>
      <c r="T59" s="29"/>
      <c r="U59" s="136"/>
      <c r="V59" s="137"/>
      <c r="W59" s="37"/>
      <c r="X59" s="29"/>
      <c r="Y59" s="29"/>
      <c r="Z59" s="136"/>
      <c r="AA59" s="138"/>
      <c r="AB59" s="54"/>
      <c r="AC59" s="54"/>
      <c r="AD59" s="74"/>
      <c r="AE59" s="149"/>
      <c r="AF59" s="138"/>
      <c r="AG59" s="54"/>
      <c r="AH59" s="54"/>
      <c r="AI59" s="74"/>
      <c r="AJ59" s="140"/>
      <c r="AK59" s="6"/>
    </row>
    <row r="60" spans="2:37" ht="62.25" customHeight="1" x14ac:dyDescent="0.25">
      <c r="B60" s="35" t="str">
        <f>'1 lentelė'!$B60</f>
        <v>1.2.2.1.6</v>
      </c>
      <c r="C60" s="35" t="str">
        <f>'1 lentelė'!$C60</f>
        <v>R095516-190000-1213</v>
      </c>
      <c r="D60" s="35" t="str">
        <f>'1 lentelė'!$D60</f>
        <v xml:space="preserve">Pėsčiųjų takų tinklo plėtra Dusetose, Zarasų rajone </v>
      </c>
      <c r="E60" s="35" t="s">
        <v>30</v>
      </c>
      <c r="F60" s="146" t="s">
        <v>947</v>
      </c>
      <c r="G60" s="133" t="str">
        <f>'2 lentelė'!$E60</f>
        <v>P.S.322</v>
      </c>
      <c r="H60" s="32" t="str">
        <f>'2 lentelė'!$F60</f>
        <v>Rekonstruotų dviračių ir/ar pėsčiųjų takų ir/ar trasų ilgis, km</v>
      </c>
      <c r="I60" s="32">
        <f>'2 lentelė'!$G60</f>
        <v>0.2</v>
      </c>
      <c r="J60" s="32">
        <v>0</v>
      </c>
      <c r="K60" s="134">
        <v>0</v>
      </c>
      <c r="L60" s="133"/>
      <c r="M60" s="32"/>
      <c r="N60" s="32"/>
      <c r="O60" s="29"/>
      <c r="P60" s="136"/>
      <c r="Q60" s="283"/>
      <c r="R60" s="29"/>
      <c r="S60" s="29"/>
      <c r="T60" s="29"/>
      <c r="U60" s="136"/>
      <c r="V60" s="296"/>
      <c r="W60" s="37"/>
      <c r="X60" s="29"/>
      <c r="Y60" s="29"/>
      <c r="Z60" s="136"/>
      <c r="AA60" s="284"/>
      <c r="AB60" s="54"/>
      <c r="AC60" s="54"/>
      <c r="AD60" s="74"/>
      <c r="AE60" s="149"/>
      <c r="AF60" s="284"/>
      <c r="AG60" s="54"/>
      <c r="AH60" s="54"/>
      <c r="AI60" s="74"/>
      <c r="AJ60" s="140"/>
      <c r="AK60" s="6"/>
    </row>
    <row r="61" spans="2:37" ht="104.25" customHeight="1" x14ac:dyDescent="0.25">
      <c r="B61" s="35" t="str">
        <f>'1 lentelė'!$B61</f>
        <v>1.2.2.1.7</v>
      </c>
      <c r="C61" s="35" t="str">
        <f>'1 lentelė'!$C61</f>
        <v>R095516-190000-1214</v>
      </c>
      <c r="D61" s="35" t="str">
        <f>'1 lentelė'!$D61</f>
        <v>Susisiekimo sąlygų gerinimas Molėtų mieste įrengiant pėsčiųjų takus tarp Ąžuolų ir Melioratorių gatvių</v>
      </c>
      <c r="E61" s="35" t="s">
        <v>30</v>
      </c>
      <c r="F61" s="146" t="s">
        <v>1229</v>
      </c>
      <c r="G61" s="133" t="str">
        <f>'2 lentelė'!$E61</f>
        <v>P.S.321</v>
      </c>
      <c r="H61" s="32" t="str">
        <f>'2 lentelė'!$F61</f>
        <v>Įrengtų naujų dviračių / ir / ar pėsčiųjų takų ir / ar trasų ilgis, km</v>
      </c>
      <c r="I61" s="32">
        <f>'2 lentelė'!$G61</f>
        <v>0.54</v>
      </c>
      <c r="J61" s="32">
        <v>0</v>
      </c>
      <c r="K61" s="134">
        <v>0</v>
      </c>
      <c r="L61" s="133"/>
      <c r="M61" s="32"/>
      <c r="N61" s="32"/>
      <c r="O61" s="29"/>
      <c r="P61" s="136"/>
      <c r="Q61" s="283"/>
      <c r="R61" s="29"/>
      <c r="S61" s="29"/>
      <c r="T61" s="29"/>
      <c r="U61" s="136"/>
      <c r="V61" s="296"/>
      <c r="W61" s="37"/>
      <c r="X61" s="29"/>
      <c r="Y61" s="29"/>
      <c r="Z61" s="136"/>
      <c r="AA61" s="284"/>
      <c r="AB61" s="54"/>
      <c r="AC61" s="54"/>
      <c r="AD61" s="74"/>
      <c r="AE61" s="149"/>
      <c r="AF61" s="284"/>
      <c r="AG61" s="54"/>
      <c r="AH61" s="54"/>
      <c r="AI61" s="74"/>
      <c r="AJ61" s="140"/>
      <c r="AK61" s="6"/>
    </row>
    <row r="62" spans="2:37" ht="67.5" x14ac:dyDescent="0.25">
      <c r="B62" s="50" t="str">
        <f>'1 lentelė'!$B62</f>
        <v>1.2.2.2</v>
      </c>
      <c r="C62" s="50"/>
      <c r="D62" s="90" t="str">
        <f>'1 lentelė'!$D62</f>
        <v>Priemonė: Darnaus judumo priemonių diegimas</v>
      </c>
      <c r="E62" s="50"/>
      <c r="F62" s="152"/>
      <c r="G62" s="50"/>
      <c r="H62" s="50"/>
      <c r="I62" s="50"/>
      <c r="J62" s="50"/>
      <c r="K62" s="152"/>
      <c r="L62" s="50"/>
      <c r="M62" s="50"/>
      <c r="N62" s="50"/>
      <c r="O62" s="50"/>
      <c r="P62" s="152"/>
      <c r="Q62" s="50"/>
      <c r="R62" s="50"/>
      <c r="S62" s="50"/>
      <c r="T62" s="50"/>
      <c r="U62" s="152"/>
      <c r="V62" s="50"/>
      <c r="W62" s="50"/>
      <c r="X62" s="50"/>
      <c r="Y62" s="50"/>
      <c r="Z62" s="152"/>
      <c r="AA62" s="50"/>
      <c r="AB62" s="50"/>
      <c r="AC62" s="50"/>
      <c r="AD62" s="50"/>
      <c r="AE62" s="152"/>
      <c r="AF62" s="50"/>
      <c r="AG62" s="50"/>
      <c r="AH62" s="50"/>
      <c r="AI62" s="50"/>
      <c r="AJ62" s="152"/>
      <c r="AK62" s="6"/>
    </row>
    <row r="63" spans="2:37" hidden="1" x14ac:dyDescent="0.25">
      <c r="B63" s="35"/>
      <c r="C63" s="35"/>
      <c r="D63" s="35"/>
      <c r="E63" s="35"/>
      <c r="F63" s="159"/>
      <c r="G63" s="133"/>
      <c r="H63" s="32"/>
      <c r="I63" s="32"/>
      <c r="J63" s="56"/>
      <c r="K63" s="160"/>
      <c r="L63" s="133"/>
      <c r="M63" s="32"/>
      <c r="N63" s="32"/>
      <c r="O63" s="29"/>
      <c r="P63" s="136"/>
      <c r="Q63" s="135"/>
      <c r="R63" s="29"/>
      <c r="S63" s="29"/>
      <c r="T63" s="56"/>
      <c r="U63" s="160"/>
      <c r="V63" s="137"/>
      <c r="W63" s="37"/>
      <c r="X63" s="29"/>
      <c r="Y63" s="29"/>
      <c r="Z63" s="136"/>
      <c r="AA63" s="138"/>
      <c r="AB63" s="54"/>
      <c r="AC63" s="54"/>
      <c r="AD63" s="74"/>
      <c r="AE63" s="149"/>
      <c r="AF63" s="138"/>
      <c r="AG63" s="54"/>
      <c r="AH63" s="54"/>
      <c r="AI63" s="74"/>
      <c r="AJ63" s="140"/>
      <c r="AK63" s="6"/>
    </row>
    <row r="64" spans="2:37" ht="54.75" customHeight="1" x14ac:dyDescent="0.25">
      <c r="B64" s="35" t="str">
        <f>'1 lentelė'!$B64</f>
        <v>1.2.2.2.2</v>
      </c>
      <c r="C64" s="35" t="str">
        <f>'1 lentelė'!$C64</f>
        <v>R095513-500000-1214</v>
      </c>
      <c r="D64" s="35" t="str">
        <f>'1 lentelė'!$D64</f>
        <v xml:space="preserve">Visagino miesto darnaus judumo plano parengimas </v>
      </c>
      <c r="E64" s="35" t="s">
        <v>65</v>
      </c>
      <c r="F64" s="161" t="s">
        <v>949</v>
      </c>
      <c r="G64" s="133" t="str">
        <f>'2 lentelė'!$E64</f>
        <v>P.N.507</v>
      </c>
      <c r="H64" s="32" t="str">
        <f>'2 lentelė'!$F64</f>
        <v>Parengti darnaus judumo mieste planai, vnt</v>
      </c>
      <c r="I64" s="32">
        <f>'2 lentelė'!$G64</f>
        <v>1</v>
      </c>
      <c r="J64" s="57">
        <v>1</v>
      </c>
      <c r="K64" s="57">
        <v>1</v>
      </c>
      <c r="L64" s="133"/>
      <c r="M64" s="32"/>
      <c r="N64" s="32"/>
      <c r="O64" s="32"/>
      <c r="P64" s="134"/>
      <c r="Q64" s="135"/>
      <c r="R64" s="29"/>
      <c r="S64" s="29"/>
      <c r="T64" s="58"/>
      <c r="U64" s="162"/>
      <c r="V64" s="137"/>
      <c r="W64" s="37"/>
      <c r="X64" s="29"/>
      <c r="Y64" s="32"/>
      <c r="Z64" s="134"/>
      <c r="AA64" s="138"/>
      <c r="AB64" s="54"/>
      <c r="AC64" s="54"/>
      <c r="AD64" s="74"/>
      <c r="AE64" s="149"/>
      <c r="AF64" s="138"/>
      <c r="AG64" s="54"/>
      <c r="AH64" s="54"/>
      <c r="AI64" s="74"/>
      <c r="AJ64" s="140"/>
      <c r="AK64" s="6"/>
    </row>
    <row r="65" spans="2:37" ht="57" customHeight="1" x14ac:dyDescent="0.25">
      <c r="B65" s="35" t="str">
        <f>'1 lentelė'!$B65</f>
        <v>1.2.2.2.3</v>
      </c>
      <c r="C65" s="35" t="str">
        <f>'1 lentelė'!$C65</f>
        <v>R095514-190000-1215</v>
      </c>
      <c r="D65" s="35" t="str">
        <f>'1 lentelė'!$D65</f>
        <v>Darnaus judumo infrastruktūros įrengimas Visagino mieste</v>
      </c>
      <c r="E65" s="35" t="s">
        <v>65</v>
      </c>
      <c r="F65" s="132" t="s">
        <v>66</v>
      </c>
      <c r="G65" s="133" t="str">
        <f>'2 lentelė'!$E65</f>
        <v>P.S.323</v>
      </c>
      <c r="H65" s="32" t="str">
        <f>'2 lentelė'!$F65</f>
        <v>Įgyvendintos darnaus judumo priemonės, vnt</v>
      </c>
      <c r="I65" s="32">
        <f>'2 lentelė'!$G65</f>
        <v>1</v>
      </c>
      <c r="J65" s="32">
        <v>0</v>
      </c>
      <c r="K65" s="134">
        <v>0</v>
      </c>
      <c r="L65" s="133"/>
      <c r="M65" s="32"/>
      <c r="N65" s="32"/>
      <c r="O65" s="32"/>
      <c r="P65" s="134"/>
      <c r="Q65" s="135"/>
      <c r="R65" s="29"/>
      <c r="S65" s="29"/>
      <c r="T65" s="58"/>
      <c r="U65" s="162"/>
      <c r="V65" s="137"/>
      <c r="W65" s="37"/>
      <c r="X65" s="29"/>
      <c r="Y65" s="32"/>
      <c r="Z65" s="134"/>
      <c r="AA65" s="138"/>
      <c r="AB65" s="54"/>
      <c r="AC65" s="54"/>
      <c r="AD65" s="74"/>
      <c r="AE65" s="149"/>
      <c r="AF65" s="138"/>
      <c r="AG65" s="54"/>
      <c r="AH65" s="54"/>
      <c r="AI65" s="74"/>
      <c r="AJ65" s="163"/>
      <c r="AK65" s="6"/>
    </row>
    <row r="66" spans="2:37" ht="52.5" customHeight="1" x14ac:dyDescent="0.25">
      <c r="B66" s="35" t="str">
        <f>'1 lentelė'!$B66</f>
        <v>1.2.2.2.4</v>
      </c>
      <c r="C66" s="35" t="str">
        <f>'1 lentelė'!$C66</f>
        <v>R095513-500000-1216</v>
      </c>
      <c r="D66" s="35" t="str">
        <f>'1 lentelė'!$D66</f>
        <v>Darnaus judumo Utenos mieste plano rengimas</v>
      </c>
      <c r="E66" s="35" t="s">
        <v>66</v>
      </c>
      <c r="F66" s="132" t="s">
        <v>950</v>
      </c>
      <c r="G66" s="133" t="str">
        <f>'2 lentelė'!$E66</f>
        <v>P.N.507</v>
      </c>
      <c r="H66" s="32" t="str">
        <f>'2 lentelė'!$F66</f>
        <v>Parengti darnaus judumo mieste planai, vnt</v>
      </c>
      <c r="I66" s="32">
        <f>'2 lentelė'!$G66</f>
        <v>1</v>
      </c>
      <c r="J66" s="32">
        <v>1</v>
      </c>
      <c r="K66" s="134">
        <v>1</v>
      </c>
      <c r="L66" s="133"/>
      <c r="M66" s="32"/>
      <c r="N66" s="32"/>
      <c r="O66" s="32"/>
      <c r="P66" s="134"/>
      <c r="Q66" s="135"/>
      <c r="R66" s="29"/>
      <c r="S66" s="29"/>
      <c r="T66" s="58"/>
      <c r="U66" s="162"/>
      <c r="V66" s="137"/>
      <c r="W66" s="37"/>
      <c r="X66" s="29"/>
      <c r="Y66" s="32"/>
      <c r="Z66" s="134"/>
      <c r="AA66" s="138"/>
      <c r="AB66" s="54"/>
      <c r="AC66" s="54"/>
      <c r="AD66" s="74"/>
      <c r="AE66" s="149"/>
      <c r="AF66" s="138"/>
      <c r="AG66" s="54"/>
      <c r="AH66" s="54"/>
      <c r="AI66" s="74"/>
      <c r="AJ66" s="140"/>
      <c r="AK66" s="6"/>
    </row>
    <row r="67" spans="2:37" ht="63.75" x14ac:dyDescent="0.25">
      <c r="B67" s="35" t="str">
        <f>'1 lentelė'!$B67</f>
        <v>1.2.2.2.5</v>
      </c>
      <c r="C67" s="35" t="str">
        <f>'1 lentelė'!$C67</f>
        <v>R095514-190000-1217</v>
      </c>
      <c r="D67" s="35" t="str">
        <f>'1 lentelė'!$D67</f>
        <v>Utenos miesto darnaus judumo plano priemonių diegimas</v>
      </c>
      <c r="E67" s="35" t="s">
        <v>66</v>
      </c>
      <c r="F67" s="132" t="s">
        <v>66</v>
      </c>
      <c r="G67" s="133" t="str">
        <f>'2 lentelė'!$E67</f>
        <v>P.S.323</v>
      </c>
      <c r="H67" s="32" t="str">
        <f>'2 lentelė'!$F67</f>
        <v>Įgyvendintos darnaus judumo priemonės, vnt</v>
      </c>
      <c r="I67" s="32">
        <f>'2 lentelė'!$G67</f>
        <v>1</v>
      </c>
      <c r="J67" s="32">
        <v>0</v>
      </c>
      <c r="K67" s="134">
        <v>0</v>
      </c>
      <c r="L67" s="133"/>
      <c r="M67" s="32"/>
      <c r="N67" s="32"/>
      <c r="O67" s="32"/>
      <c r="P67" s="134"/>
      <c r="Q67" s="135"/>
      <c r="R67" s="29"/>
      <c r="S67" s="29"/>
      <c r="T67" s="58"/>
      <c r="U67" s="162"/>
      <c r="V67" s="137"/>
      <c r="W67" s="37"/>
      <c r="X67" s="29"/>
      <c r="Y67" s="32"/>
      <c r="Z67" s="134"/>
      <c r="AA67" s="138"/>
      <c r="AB67" s="54"/>
      <c r="AC67" s="54"/>
      <c r="AD67" s="76"/>
      <c r="AE67" s="165"/>
      <c r="AF67" s="138"/>
      <c r="AG67" s="54"/>
      <c r="AH67" s="54"/>
      <c r="AI67" s="76"/>
      <c r="AJ67" s="143"/>
      <c r="AK67" s="33"/>
    </row>
    <row r="68" spans="2:37" ht="111" customHeight="1" x14ac:dyDescent="0.25">
      <c r="B68" s="60" t="str">
        <f>'1 lentelė'!$B68</f>
        <v>1.2.2.3</v>
      </c>
      <c r="C68" s="60"/>
      <c r="D68" s="91" t="str">
        <f>'1 lentelė'!$D68</f>
        <v>Priemonė: Vietinio susisiekimo viešojo transporto priemonių parko atnaujinimas</v>
      </c>
      <c r="E68" s="50"/>
      <c r="F68" s="152"/>
      <c r="G68" s="60"/>
      <c r="H68" s="60"/>
      <c r="I68" s="60"/>
      <c r="J68" s="50"/>
      <c r="K68" s="152"/>
      <c r="L68" s="60"/>
      <c r="M68" s="60"/>
      <c r="N68" s="60"/>
      <c r="O68" s="50"/>
      <c r="P68" s="152"/>
      <c r="Q68" s="60"/>
      <c r="R68" s="60"/>
      <c r="S68" s="60"/>
      <c r="T68" s="60"/>
      <c r="U68" s="166"/>
      <c r="V68" s="60"/>
      <c r="W68" s="60"/>
      <c r="X68" s="60"/>
      <c r="Y68" s="50"/>
      <c r="Z68" s="152"/>
      <c r="AA68" s="60"/>
      <c r="AB68" s="60"/>
      <c r="AC68" s="60"/>
      <c r="AD68" s="60"/>
      <c r="AE68" s="166"/>
      <c r="AF68" s="60"/>
      <c r="AG68" s="60"/>
      <c r="AH68" s="60"/>
      <c r="AI68" s="50"/>
      <c r="AJ68" s="152"/>
      <c r="AK68" s="6"/>
    </row>
    <row r="69" spans="2:37" hidden="1" x14ac:dyDescent="0.25">
      <c r="B69" s="35"/>
      <c r="C69" s="35"/>
      <c r="D69" s="35"/>
      <c r="E69" s="35"/>
      <c r="F69" s="167"/>
      <c r="G69" s="133"/>
      <c r="H69" s="32"/>
      <c r="I69" s="32"/>
      <c r="J69" s="61"/>
      <c r="K69" s="168"/>
      <c r="L69" s="133"/>
      <c r="M69" s="32"/>
      <c r="N69" s="32"/>
      <c r="O69" s="29"/>
      <c r="P69" s="136"/>
      <c r="Q69" s="135"/>
      <c r="R69" s="29"/>
      <c r="S69" s="29"/>
      <c r="T69" s="56"/>
      <c r="U69" s="160"/>
      <c r="V69" s="137"/>
      <c r="W69" s="37"/>
      <c r="X69" s="29"/>
      <c r="Y69" s="29"/>
      <c r="Z69" s="136"/>
      <c r="AA69" s="138"/>
      <c r="AB69" s="54"/>
      <c r="AC69" s="54"/>
      <c r="AD69" s="74"/>
      <c r="AE69" s="149"/>
      <c r="AF69" s="138"/>
      <c r="AG69" s="54"/>
      <c r="AH69" s="54"/>
      <c r="AI69" s="74"/>
      <c r="AJ69" s="140"/>
      <c r="AK69" s="6"/>
    </row>
    <row r="70" spans="2:37" ht="93" customHeight="1" x14ac:dyDescent="0.25">
      <c r="B70" s="35" t="str">
        <f>'1 lentelė'!B69</f>
        <v>1.2.2.3.3</v>
      </c>
      <c r="C70" s="35" t="str">
        <f>'1 lentelė'!C69</f>
        <v>R095518-100000-1219</v>
      </c>
      <c r="D70" s="35" t="str">
        <f>'1 lentelė'!D69</f>
        <v>Utenos rajono vietinio susisiekimo viešojo transporto priemonių parko atnaujinimas</v>
      </c>
      <c r="E70" s="35" t="s">
        <v>66</v>
      </c>
      <c r="F70" s="169" t="s">
        <v>66</v>
      </c>
      <c r="G70" s="133" t="str">
        <f>'2 lentelė'!$E69</f>
        <v>P.S.325</v>
      </c>
      <c r="H70" s="32" t="str">
        <f>'2 lentelė'!$F69</f>
        <v>Įsigytos naujos ekologiškos viešojo transporto priemonės (skaičius)</v>
      </c>
      <c r="I70" s="32">
        <f>'2 lentelė'!$G69</f>
        <v>4</v>
      </c>
      <c r="J70" s="58">
        <v>0</v>
      </c>
      <c r="K70" s="162">
        <v>0</v>
      </c>
      <c r="L70" s="133"/>
      <c r="M70" s="32"/>
      <c r="N70" s="32"/>
      <c r="O70" s="32"/>
      <c r="P70" s="134"/>
      <c r="Q70" s="135"/>
      <c r="R70" s="29"/>
      <c r="S70" s="29"/>
      <c r="T70" s="58"/>
      <c r="U70" s="162"/>
      <c r="V70" s="137"/>
      <c r="W70" s="37"/>
      <c r="X70" s="29"/>
      <c r="Y70" s="32"/>
      <c r="Z70" s="134"/>
      <c r="AA70" s="138"/>
      <c r="AB70" s="54"/>
      <c r="AC70" s="54"/>
      <c r="AD70" s="76"/>
      <c r="AE70" s="165"/>
      <c r="AF70" s="138"/>
      <c r="AG70" s="54"/>
      <c r="AH70" s="54"/>
      <c r="AI70" s="76"/>
      <c r="AJ70" s="143"/>
      <c r="AK70" s="33"/>
    </row>
    <row r="71" spans="2:37" ht="41.25" customHeight="1" x14ac:dyDescent="0.25">
      <c r="B71" s="64" t="str">
        <f>'1 lentelė'!$B70</f>
        <v>2.</v>
      </c>
      <c r="C71" s="64"/>
      <c r="D71" s="92" t="str">
        <f>'1 lentelė'!$D70</f>
        <v>Prioritetas: Integrali ekonomika</v>
      </c>
      <c r="E71" s="64"/>
      <c r="F71" s="170"/>
      <c r="G71" s="64"/>
      <c r="H71" s="64"/>
      <c r="I71" s="64"/>
      <c r="J71" s="64"/>
      <c r="K71" s="170"/>
      <c r="L71" s="64"/>
      <c r="M71" s="64"/>
      <c r="N71" s="64"/>
      <c r="O71" s="64"/>
      <c r="P71" s="170"/>
      <c r="Q71" s="64"/>
      <c r="R71" s="64"/>
      <c r="S71" s="64"/>
      <c r="T71" s="64"/>
      <c r="U71" s="170"/>
      <c r="V71" s="64"/>
      <c r="W71" s="64"/>
      <c r="X71" s="64"/>
      <c r="Y71" s="64"/>
      <c r="Z71" s="170"/>
      <c r="AA71" s="266"/>
      <c r="AB71" s="64"/>
      <c r="AC71" s="64"/>
      <c r="AD71" s="64"/>
      <c r="AE71" s="170"/>
      <c r="AF71" s="269"/>
      <c r="AG71" s="64"/>
      <c r="AH71" s="64"/>
      <c r="AI71" s="64"/>
      <c r="AJ71" s="170"/>
    </row>
    <row r="72" spans="2:37" ht="81" customHeight="1" x14ac:dyDescent="0.25">
      <c r="B72" s="67" t="str">
        <f>'1 lentelė'!$B71</f>
        <v xml:space="preserve">2.1 </v>
      </c>
      <c r="C72" s="67"/>
      <c r="D72" s="67" t="str">
        <f>'1 lentelė'!$D71</f>
        <v>Tikslas: Turizmo infrastruktūros, kultūros ir gamtos paveldo plėtra</v>
      </c>
      <c r="E72" s="67"/>
      <c r="F72" s="172"/>
      <c r="G72" s="67"/>
      <c r="H72" s="67"/>
      <c r="I72" s="67"/>
      <c r="J72" s="67"/>
      <c r="K72" s="172"/>
      <c r="L72" s="67"/>
      <c r="M72" s="67"/>
      <c r="N72" s="67"/>
      <c r="O72" s="67"/>
      <c r="P72" s="172"/>
      <c r="Q72" s="67"/>
      <c r="R72" s="67"/>
      <c r="S72" s="67"/>
      <c r="T72" s="67"/>
      <c r="U72" s="172"/>
      <c r="V72" s="67"/>
      <c r="W72" s="67"/>
      <c r="X72" s="67"/>
      <c r="Y72" s="67"/>
      <c r="Z72" s="172"/>
      <c r="AA72" s="267"/>
      <c r="AB72" s="67"/>
      <c r="AC72" s="67"/>
      <c r="AD72" s="67"/>
      <c r="AE72" s="172"/>
      <c r="AF72" s="270"/>
      <c r="AG72" s="67"/>
      <c r="AH72" s="67"/>
      <c r="AI72" s="67"/>
      <c r="AJ72" s="172"/>
    </row>
    <row r="73" spans="2:37" ht="68.25" customHeight="1" x14ac:dyDescent="0.25">
      <c r="B73" s="70" t="str">
        <f>'1 lentelė'!$B72</f>
        <v xml:space="preserve">2.1.1 </v>
      </c>
      <c r="C73" s="70"/>
      <c r="D73" s="70" t="str">
        <f>'1 lentelė'!$D72</f>
        <v>Uždavinys: Sutvarkyti ir aktualizuoti kultūros paveldo plėtrą</v>
      </c>
      <c r="E73" s="70"/>
      <c r="F73" s="173"/>
      <c r="G73" s="70"/>
      <c r="H73" s="70"/>
      <c r="I73" s="70"/>
      <c r="J73" s="70"/>
      <c r="K73" s="173"/>
      <c r="L73" s="70"/>
      <c r="M73" s="70"/>
      <c r="N73" s="70"/>
      <c r="O73" s="70"/>
      <c r="P73" s="173"/>
      <c r="Q73" s="70"/>
      <c r="R73" s="70"/>
      <c r="S73" s="70"/>
      <c r="T73" s="70"/>
      <c r="U73" s="173"/>
      <c r="V73" s="70"/>
      <c r="W73" s="70"/>
      <c r="X73" s="70"/>
      <c r="Y73" s="70"/>
      <c r="Z73" s="173"/>
      <c r="AA73" s="268"/>
      <c r="AB73" s="70"/>
      <c r="AC73" s="70"/>
      <c r="AD73" s="70"/>
      <c r="AE73" s="173"/>
      <c r="AF73" s="271"/>
      <c r="AG73" s="70"/>
      <c r="AH73" s="70"/>
      <c r="AI73" s="70"/>
      <c r="AJ73" s="173"/>
    </row>
    <row r="74" spans="2:37" ht="70.5" customHeight="1" x14ac:dyDescent="0.25">
      <c r="B74" s="60" t="str">
        <f>'1 lentelė'!$B73</f>
        <v>2.1.1.1</v>
      </c>
      <c r="C74" s="60"/>
      <c r="D74" s="91" t="str">
        <f>'1 lentelė'!$D73</f>
        <v>Priemonė: Aktualizuoti savivaldybių kultūros paveldo objektus</v>
      </c>
      <c r="E74" s="60"/>
      <c r="F74" s="166"/>
      <c r="G74" s="60"/>
      <c r="H74" s="60"/>
      <c r="I74" s="60"/>
      <c r="J74" s="60"/>
      <c r="K74" s="166"/>
      <c r="L74" s="60"/>
      <c r="M74" s="60"/>
      <c r="N74" s="60"/>
      <c r="O74" s="60"/>
      <c r="P74" s="166"/>
      <c r="Q74" s="60"/>
      <c r="R74" s="60"/>
      <c r="S74" s="60"/>
      <c r="T74" s="60"/>
      <c r="U74" s="166"/>
      <c r="V74" s="60"/>
      <c r="W74" s="60"/>
      <c r="X74" s="60"/>
      <c r="Y74" s="60"/>
      <c r="Z74" s="166"/>
      <c r="AA74" s="258"/>
      <c r="AB74" s="60"/>
      <c r="AC74" s="60"/>
      <c r="AD74" s="60"/>
      <c r="AE74" s="166"/>
      <c r="AF74" s="272"/>
      <c r="AG74" s="60"/>
      <c r="AH74" s="60"/>
      <c r="AI74" s="60"/>
      <c r="AJ74" s="166"/>
    </row>
    <row r="75" spans="2:37" ht="153" x14ac:dyDescent="0.25">
      <c r="B75" s="35" t="str">
        <f>'1 lentelė'!$B74</f>
        <v>2.1.1.1.1</v>
      </c>
      <c r="C75" s="35" t="str">
        <f>'1 lentelė'!$C74</f>
        <v>R093302-442942-2101</v>
      </c>
      <c r="D75" s="35" t="str">
        <f>'1 lentelė'!$D74</f>
        <v xml:space="preserve">Kompleksinis Okuličiūtės dvarelio Anykščiuose sutvarkymas ir pritaikymas kultūrinei, meninei veiklai </v>
      </c>
      <c r="E75" s="35" t="s">
        <v>65</v>
      </c>
      <c r="F75" s="169" t="s">
        <v>951</v>
      </c>
      <c r="G75" s="133" t="str">
        <f>'2 lentelė'!$E74</f>
        <v>P.S.335</v>
      </c>
      <c r="H75" s="32" t="str">
        <f>'2 lentelė'!$F74</f>
        <v>Sutvarkyti, įrengti ir pritaikyti lankymui gamtos ir kultūros paveldo objektai ir teritorijos (skaičius)</v>
      </c>
      <c r="I75" s="32">
        <f>'2 lentelė'!$G74</f>
        <v>1</v>
      </c>
      <c r="J75" s="58">
        <v>1</v>
      </c>
      <c r="K75" s="162">
        <v>1</v>
      </c>
      <c r="L75" s="133" t="str">
        <f>'2 lentelė'!$H74</f>
        <v>P.B.209</v>
      </c>
      <c r="M75" s="32" t="str">
        <f>'2 lentelė'!$I74</f>
        <v xml:space="preserve">Numatomo apsilankymų remiamuose kultūros ir gamtos paveldo objektuose bei turistų traukos vietose skaičiaus padidėjimas </v>
      </c>
      <c r="N75" s="32">
        <f>'2 lentelė'!$J74</f>
        <v>1400</v>
      </c>
      <c r="O75" s="32">
        <v>1400</v>
      </c>
      <c r="P75" s="134">
        <v>1400</v>
      </c>
      <c r="Q75" s="135"/>
      <c r="R75" s="29"/>
      <c r="S75" s="29"/>
      <c r="T75" s="58"/>
      <c r="U75" s="162"/>
      <c r="V75" s="137"/>
      <c r="W75" s="37"/>
      <c r="X75" s="29"/>
      <c r="Y75" s="32"/>
      <c r="Z75" s="134"/>
      <c r="AA75" s="138"/>
      <c r="AB75" s="54"/>
      <c r="AC75" s="54"/>
      <c r="AD75" s="74"/>
      <c r="AE75" s="149"/>
      <c r="AF75" s="138"/>
      <c r="AG75" s="54"/>
      <c r="AH75" s="54"/>
      <c r="AI75" s="54"/>
      <c r="AJ75" s="139"/>
      <c r="AK75" s="6"/>
    </row>
    <row r="76" spans="2:37" ht="153" x14ac:dyDescent="0.25">
      <c r="B76" s="35" t="str">
        <f>'1 lentelė'!$B75</f>
        <v xml:space="preserve">2.1.1.1.2 </v>
      </c>
      <c r="C76" s="35" t="str">
        <f>'1 lentelė'!$C75</f>
        <v>R093302-440000-2102</v>
      </c>
      <c r="D76" s="35" t="str">
        <f>'1 lentelė'!$D75</f>
        <v xml:space="preserve">Naujų kultūros paslaugų visuomenės kultūriniams poreikiams tenkinti sukūrimas Utenos meno mokykloje </v>
      </c>
      <c r="E76" s="35" t="s">
        <v>30</v>
      </c>
      <c r="F76" s="169" t="s">
        <v>952</v>
      </c>
      <c r="G76" s="133" t="str">
        <f>'2 lentelė'!$E75</f>
        <v>P.S.335</v>
      </c>
      <c r="H76" s="32" t="str">
        <f>'2 lentelė'!$F75</f>
        <v>Sutvarkyti, įrengti ir pritaikyti lankymui gamtos ir kultūros paveldo objektai ir teritorijos (skaičius)</v>
      </c>
      <c r="I76" s="32">
        <f>'2 lentelė'!$G75</f>
        <v>1</v>
      </c>
      <c r="J76" s="58">
        <v>1</v>
      </c>
      <c r="K76" s="162">
        <v>1</v>
      </c>
      <c r="L76" s="133" t="str">
        <f>'2 lentelė'!$H75</f>
        <v>P.B.209</v>
      </c>
      <c r="M76" s="32" t="str">
        <f>'2 lentelė'!$I75</f>
        <v xml:space="preserve">Numatomo apsilankymų remiamuose kultūros ir gamtos paveldo objektuose bei turistų traukos vietose skaičiaus padidėjimas </v>
      </c>
      <c r="N76" s="32">
        <f>'2 lentelė'!$J75</f>
        <v>2800</v>
      </c>
      <c r="O76" s="58">
        <v>2800</v>
      </c>
      <c r="P76" s="162">
        <v>2800</v>
      </c>
      <c r="Q76" s="135"/>
      <c r="R76" s="29"/>
      <c r="S76" s="29"/>
      <c r="T76" s="58"/>
      <c r="U76" s="162"/>
      <c r="V76" s="137"/>
      <c r="W76" s="37"/>
      <c r="X76" s="29"/>
      <c r="Y76" s="32"/>
      <c r="Z76" s="134"/>
      <c r="AA76" s="138"/>
      <c r="AB76" s="54"/>
      <c r="AC76" s="54"/>
      <c r="AD76" s="74"/>
      <c r="AE76" s="149"/>
      <c r="AF76" s="138"/>
      <c r="AG76" s="54"/>
      <c r="AH76" s="54"/>
      <c r="AI76" s="74"/>
      <c r="AJ76" s="149"/>
      <c r="AK76" s="6"/>
    </row>
    <row r="77" spans="2:37" ht="210" customHeight="1" x14ac:dyDescent="0.25">
      <c r="B77" s="35" t="str">
        <f>'1 lentelė'!$B76</f>
        <v>2.1.1.1.3</v>
      </c>
      <c r="C77" s="35" t="str">
        <f>'1 lentelė'!$C76</f>
        <v>R093302-440000-2103</v>
      </c>
      <c r="D77" s="35" t="str">
        <f>'1 lentelė'!$D76</f>
        <v>Atgailos kanauninkų vienuolyno ansamblio (u.k. 987) vienuolyno namo (u.k. 25029) Videniškių km. kapitalinis remontas ir pritaikymas Videniškių vienuolyno amatų centro ir bendruomenės poreikiams poreikiams</v>
      </c>
      <c r="E77" s="35" t="s">
        <v>66</v>
      </c>
      <c r="F77" s="169" t="s">
        <v>953</v>
      </c>
      <c r="G77" s="133" t="str">
        <f>'2 lentelė'!$E76</f>
        <v>P.S.335</v>
      </c>
      <c r="H77" s="32" t="str">
        <f>'2 lentelė'!$F76</f>
        <v>Sutvarkyti, įrengti ir pritaikyti lankymui gamtos ir kultūros paveldo objektai ir teritorijos</v>
      </c>
      <c r="I77" s="32">
        <f>'2 lentelė'!$G76</f>
        <v>1</v>
      </c>
      <c r="J77" s="58">
        <v>1</v>
      </c>
      <c r="K77" s="162">
        <v>0</v>
      </c>
      <c r="L77" s="133" t="str">
        <f>'2 lentelė'!$H76</f>
        <v>P.B.209</v>
      </c>
      <c r="M77" s="32" t="str">
        <f>'2 lentelė'!$I76</f>
        <v>Numatomo apsilankymų remiamuose kultūros ir gamtos paveldo objektuose bei turistų traukos vietose skaičiaus padidėjimas</v>
      </c>
      <c r="N77" s="32">
        <f>'2 lentelė'!$J76</f>
        <v>600</v>
      </c>
      <c r="O77" s="32">
        <v>600</v>
      </c>
      <c r="P77" s="134">
        <v>0</v>
      </c>
      <c r="Q77" s="135"/>
      <c r="R77" s="29"/>
      <c r="S77" s="29"/>
      <c r="T77" s="58"/>
      <c r="U77" s="162"/>
      <c r="V77" s="137"/>
      <c r="W77" s="37"/>
      <c r="X77" s="29"/>
      <c r="Y77" s="32"/>
      <c r="Z77" s="134"/>
      <c r="AA77" s="138"/>
      <c r="AB77" s="54"/>
      <c r="AC77" s="54"/>
      <c r="AD77" s="74"/>
      <c r="AE77" s="149"/>
      <c r="AF77" s="138"/>
      <c r="AG77" s="54"/>
      <c r="AH77" s="54"/>
      <c r="AI77" s="74"/>
      <c r="AJ77" s="149"/>
      <c r="AK77" s="6"/>
    </row>
    <row r="78" spans="2:37" ht="153" x14ac:dyDescent="0.25">
      <c r="B78" s="35" t="str">
        <f>'1 lentelė'!$B77</f>
        <v>2.1.1.1.4</v>
      </c>
      <c r="C78" s="35" t="str">
        <f>'1 lentelė'!$C77</f>
        <v>R093302-442942-2104</v>
      </c>
      <c r="D78" s="35" t="str">
        <f>'1 lentelė'!$D77</f>
        <v>Valstybės saugomo kultūros paveldo objekto – Antazavės dvaro aktualizavimas</v>
      </c>
      <c r="E78" s="35" t="s">
        <v>66</v>
      </c>
      <c r="F78" s="169" t="s">
        <v>954</v>
      </c>
      <c r="G78" s="133" t="str">
        <f>'2 lentelė'!$E77</f>
        <v>P.S.335</v>
      </c>
      <c r="H78" s="32" t="str">
        <f>'2 lentelė'!$F77</f>
        <v>Sutvarkyti, įrengti ir pritaikyti lankymui gamtos ir kultūros paveldo objektai ir teritorijos (skaičius)</v>
      </c>
      <c r="I78" s="32">
        <f>'2 lentelė'!$G77</f>
        <v>1</v>
      </c>
      <c r="J78" s="58">
        <v>1</v>
      </c>
      <c r="K78" s="162">
        <v>0</v>
      </c>
      <c r="L78" s="133" t="str">
        <f>'2 lentelė'!$H77</f>
        <v>P.B.209</v>
      </c>
      <c r="M78" s="32" t="str">
        <f>'2 lentelė'!$I77</f>
        <v xml:space="preserve">Numatomo apsilankymų remiamuose kultūros ir gamtos paveldo objektuose bei turistų traukos vietose skaičiaus padidėjimas </v>
      </c>
      <c r="N78" s="32">
        <f>'2 lentelė'!$J77</f>
        <v>2600</v>
      </c>
      <c r="O78" s="32">
        <v>2600</v>
      </c>
      <c r="P78" s="134">
        <v>0</v>
      </c>
      <c r="Q78" s="135"/>
      <c r="R78" s="29"/>
      <c r="S78" s="29"/>
      <c r="T78" s="58"/>
      <c r="U78" s="162"/>
      <c r="V78" s="137"/>
      <c r="W78" s="37"/>
      <c r="X78" s="29"/>
      <c r="Y78" s="32"/>
      <c r="Z78" s="134"/>
      <c r="AA78" s="138"/>
      <c r="AB78" s="54"/>
      <c r="AC78" s="54"/>
      <c r="AD78" s="74"/>
      <c r="AE78" s="149"/>
      <c r="AF78" s="138"/>
      <c r="AG78" s="54"/>
      <c r="AH78" s="54"/>
      <c r="AI78" s="74"/>
      <c r="AJ78" s="149"/>
      <c r="AK78" s="6"/>
    </row>
    <row r="79" spans="2:37" ht="66.75" customHeight="1" x14ac:dyDescent="0.25">
      <c r="B79" s="71" t="str">
        <f>'1 lentelė'!$B78</f>
        <v>2.1.2</v>
      </c>
      <c r="C79" s="71"/>
      <c r="D79" s="70" t="str">
        <f>'1 lentelė'!$D78</f>
        <v>Uždavinys: Plėtoti turizmo išteklių ir paslaugų rinkodarą</v>
      </c>
      <c r="E79" s="71"/>
      <c r="F79" s="158"/>
      <c r="G79" s="71"/>
      <c r="H79" s="71"/>
      <c r="I79" s="71"/>
      <c r="J79" s="71"/>
      <c r="K79" s="158"/>
      <c r="L79" s="71"/>
      <c r="M79" s="71"/>
      <c r="N79" s="71"/>
      <c r="O79" s="71"/>
      <c r="P79" s="174"/>
      <c r="Q79" s="71"/>
      <c r="R79" s="71"/>
      <c r="S79" s="71"/>
      <c r="T79" s="71"/>
      <c r="U79" s="174"/>
      <c r="V79" s="71"/>
      <c r="W79" s="71"/>
      <c r="X79" s="71"/>
      <c r="Y79" s="49"/>
      <c r="Z79" s="158"/>
      <c r="AA79" s="71"/>
      <c r="AB79" s="71"/>
      <c r="AC79" s="71"/>
      <c r="AD79" s="71"/>
      <c r="AE79" s="174"/>
      <c r="AF79" s="71"/>
      <c r="AG79" s="71"/>
      <c r="AH79" s="71"/>
      <c r="AI79" s="49"/>
      <c r="AJ79" s="158"/>
      <c r="AK79" s="6"/>
    </row>
    <row r="80" spans="2:37" ht="123" customHeight="1" x14ac:dyDescent="0.25">
      <c r="B80" s="60" t="str">
        <f>'1 lentelė'!$B79</f>
        <v>2.1.2.1</v>
      </c>
      <c r="C80" s="60"/>
      <c r="D80" s="91" t="str">
        <f>'1 lentelė'!$D79</f>
        <v>Priemonė: Savivaldybes jungiančių turizmo trasų ir turizmo maršrutų informacinės infrastruktūros plėtra</v>
      </c>
      <c r="E80" s="60"/>
      <c r="F80" s="152"/>
      <c r="G80" s="60"/>
      <c r="H80" s="60"/>
      <c r="I80" s="60"/>
      <c r="J80" s="60"/>
      <c r="K80" s="152"/>
      <c r="L80" s="60"/>
      <c r="M80" s="60"/>
      <c r="N80" s="60"/>
      <c r="O80" s="60"/>
      <c r="P80" s="166"/>
      <c r="Q80" s="60"/>
      <c r="R80" s="60"/>
      <c r="S80" s="60"/>
      <c r="T80" s="60"/>
      <c r="U80" s="166"/>
      <c r="V80" s="60"/>
      <c r="W80" s="60"/>
      <c r="X80" s="60"/>
      <c r="Y80" s="50"/>
      <c r="Z80" s="152"/>
      <c r="AA80" s="60"/>
      <c r="AB80" s="60"/>
      <c r="AC80" s="60"/>
      <c r="AD80" s="60"/>
      <c r="AE80" s="166"/>
      <c r="AF80" s="60"/>
      <c r="AG80" s="60"/>
      <c r="AH80" s="60"/>
      <c r="AI80" s="50"/>
      <c r="AJ80" s="152"/>
      <c r="AK80" s="6"/>
    </row>
    <row r="81" spans="2:41" ht="65.25" customHeight="1" x14ac:dyDescent="0.25">
      <c r="B81" s="35" t="str">
        <f>'1 lentelė'!$B80</f>
        <v xml:space="preserve">2.1.2.1.2 </v>
      </c>
      <c r="C81" s="35" t="str">
        <f>'1 lentelė'!$C80</f>
        <v>R098821-420000-2106</v>
      </c>
      <c r="D81" s="35" t="str">
        <f>'1 lentelė'!$D80</f>
        <v>Informacinės infrastruktūros plėtra Ignalinos, Molėtų ir Utenos rajonuose</v>
      </c>
      <c r="E81" s="35" t="s">
        <v>66</v>
      </c>
      <c r="F81" s="295"/>
      <c r="G81" s="347" t="str">
        <f>'2 lentelė'!E80</f>
        <v>P.N.817</v>
      </c>
      <c r="H81" s="32" t="str">
        <f>'2 lentelė'!F80</f>
        <v>Įrengti ženklinimo infrastruktūros objektai</v>
      </c>
      <c r="I81" s="32">
        <f>'2 lentelė'!G80</f>
        <v>127</v>
      </c>
      <c r="J81" s="32">
        <f>'2 lentelė'!H80</f>
        <v>0</v>
      </c>
      <c r="K81" s="176">
        <f>'2 lentelė'!I80</f>
        <v>0</v>
      </c>
      <c r="L81" s="133"/>
      <c r="M81" s="32"/>
      <c r="N81" s="32"/>
      <c r="O81" s="58"/>
      <c r="P81" s="162"/>
      <c r="Q81" s="135"/>
      <c r="R81" s="29"/>
      <c r="S81" s="29"/>
      <c r="T81" s="58"/>
      <c r="U81" s="162"/>
      <c r="V81" s="137"/>
      <c r="W81" s="37"/>
      <c r="X81" s="29"/>
      <c r="Y81" s="32"/>
      <c r="Z81" s="134"/>
      <c r="AA81" s="138"/>
      <c r="AB81" s="54"/>
      <c r="AC81" s="54"/>
      <c r="AD81" s="74"/>
      <c r="AE81" s="149"/>
      <c r="AF81" s="138"/>
      <c r="AG81" s="54"/>
      <c r="AH81" s="54"/>
      <c r="AI81" s="144"/>
      <c r="AJ81" s="175"/>
      <c r="AK81" s="6"/>
    </row>
    <row r="82" spans="2:41" ht="65.25" customHeight="1" x14ac:dyDescent="0.25">
      <c r="B82" s="35" t="str">
        <f>'1 lentelė'!$B81</f>
        <v>2.1.2.1.3</v>
      </c>
      <c r="C82" s="35" t="str">
        <f>'1 lentelė'!$C81</f>
        <v>R098821-420000-2107</v>
      </c>
      <c r="D82" s="35" t="str">
        <f>'1 lentelė'!$D81</f>
        <v>Taktiliniai maketai turistui po atviru dangumi</v>
      </c>
      <c r="E82" s="35" t="s">
        <v>66</v>
      </c>
      <c r="F82" s="164" t="s">
        <v>66</v>
      </c>
      <c r="G82" s="347" t="str">
        <f>'2 lentelė'!E81</f>
        <v>P.N.817</v>
      </c>
      <c r="H82" s="32" t="str">
        <f>'2 lentelė'!F81</f>
        <v>Įrengti ženklinimo infrastruktūros objektai</v>
      </c>
      <c r="I82" s="32">
        <f>'2 lentelė'!G81</f>
        <v>30</v>
      </c>
      <c r="J82" s="32">
        <f>'2 lentelė'!H81</f>
        <v>0</v>
      </c>
      <c r="K82" s="176">
        <f>'2 lentelė'!I81</f>
        <v>0</v>
      </c>
      <c r="L82" s="347"/>
      <c r="M82" s="32"/>
      <c r="N82" s="32"/>
      <c r="O82" s="58"/>
      <c r="P82" s="162"/>
      <c r="Q82" s="283"/>
      <c r="R82" s="29"/>
      <c r="S82" s="29"/>
      <c r="T82" s="58"/>
      <c r="U82" s="162"/>
      <c r="V82" s="296"/>
      <c r="W82" s="37"/>
      <c r="X82" s="29"/>
      <c r="Y82" s="32"/>
      <c r="Z82" s="134"/>
      <c r="AA82" s="284"/>
      <c r="AB82" s="54"/>
      <c r="AC82" s="54"/>
      <c r="AD82" s="74"/>
      <c r="AE82" s="149"/>
      <c r="AF82" s="284"/>
      <c r="AG82" s="54"/>
      <c r="AH82" s="54"/>
      <c r="AI82" s="144"/>
      <c r="AJ82" s="175"/>
      <c r="AK82" s="6"/>
    </row>
    <row r="83" spans="2:41" ht="84.75" customHeight="1" x14ac:dyDescent="0.25">
      <c r="B83" s="35" t="str">
        <f>'1 lentelė'!$B82</f>
        <v>2.1.2.1.4</v>
      </c>
      <c r="C83" s="35" t="str">
        <f>'1 lentelė'!$C82</f>
        <v>R098821-420000-2108</v>
      </c>
      <c r="D83" s="35" t="str">
        <f>'1 lentelė'!$D82</f>
        <v>Turizmo informacinės infrastruktūros plėtra Utenos, Ignalinos, Zarasų rajonų ir Visagino savivaldybėse</v>
      </c>
      <c r="E83" s="35" t="s">
        <v>66</v>
      </c>
      <c r="F83" s="164" t="s">
        <v>66</v>
      </c>
      <c r="G83" s="347" t="str">
        <f>'2 lentelė'!E82</f>
        <v>P.N.817</v>
      </c>
      <c r="H83" s="32" t="str">
        <f>'2 lentelė'!F82</f>
        <v>Įrengti ženklinimo infrastruktūros objektai</v>
      </c>
      <c r="I83" s="32">
        <f>'2 lentelė'!G82</f>
        <v>27</v>
      </c>
      <c r="J83" s="32">
        <f>'2 lentelė'!H82</f>
        <v>0</v>
      </c>
      <c r="K83" s="176">
        <f>'2 lentelė'!I82</f>
        <v>0</v>
      </c>
      <c r="L83" s="347"/>
      <c r="M83" s="32"/>
      <c r="N83" s="32"/>
      <c r="O83" s="58"/>
      <c r="P83" s="162"/>
      <c r="Q83" s="283"/>
      <c r="R83" s="29"/>
      <c r="S83" s="29"/>
      <c r="T83" s="58"/>
      <c r="U83" s="162"/>
      <c r="V83" s="296"/>
      <c r="W83" s="37"/>
      <c r="X83" s="29"/>
      <c r="Y83" s="32"/>
      <c r="Z83" s="134"/>
      <c r="AA83" s="284"/>
      <c r="AB83" s="54"/>
      <c r="AC83" s="54"/>
      <c r="AD83" s="74"/>
      <c r="AE83" s="149"/>
      <c r="AF83" s="284"/>
      <c r="AG83" s="54"/>
      <c r="AH83" s="54"/>
      <c r="AI83" s="144"/>
      <c r="AJ83" s="175"/>
      <c r="AK83" s="6"/>
    </row>
    <row r="84" spans="2:41" ht="50.25" customHeight="1" x14ac:dyDescent="0.25">
      <c r="B84" s="67" t="str">
        <f>'1 lentelė'!$B82</f>
        <v>2.1.2.1.4</v>
      </c>
      <c r="C84" s="67"/>
      <c r="D84" s="67" t="str">
        <f>'1 lentelė'!$D82</f>
        <v>Turizmo informacinės infrastruktūros plėtra Utenos, Ignalinos, Zarasų rajonų ir Visagino savivaldybėse</v>
      </c>
      <c r="E84" s="67"/>
      <c r="F84" s="154"/>
      <c r="G84" s="67"/>
      <c r="H84" s="67"/>
      <c r="I84" s="67"/>
      <c r="J84" s="67"/>
      <c r="K84" s="154"/>
      <c r="L84" s="67"/>
      <c r="M84" s="67"/>
      <c r="N84" s="67"/>
      <c r="O84" s="67"/>
      <c r="P84" s="172"/>
      <c r="Q84" s="67"/>
      <c r="R84" s="67"/>
      <c r="S84" s="67"/>
      <c r="T84" s="67"/>
      <c r="U84" s="172"/>
      <c r="V84" s="67"/>
      <c r="W84" s="67"/>
      <c r="X84" s="67"/>
      <c r="Y84" s="51"/>
      <c r="Z84" s="154"/>
      <c r="AA84" s="67"/>
      <c r="AB84" s="67"/>
      <c r="AC84" s="67"/>
      <c r="AD84" s="67"/>
      <c r="AE84" s="172"/>
      <c r="AF84" s="67"/>
      <c r="AG84" s="67"/>
      <c r="AH84" s="67"/>
      <c r="AI84" s="51"/>
      <c r="AJ84" s="154"/>
      <c r="AK84" s="6"/>
    </row>
    <row r="85" spans="2:41" ht="116.25" customHeight="1" x14ac:dyDescent="0.25">
      <c r="B85" s="71" t="str">
        <f>'1 lentelė'!$B84</f>
        <v>2.2.1</v>
      </c>
      <c r="C85" s="71"/>
      <c r="D85" s="70" t="str">
        <f>'1 lentelė'!$D84</f>
        <v>Uždavinys: Plėtoti tvarią šilumos energijos, vandens tiekimo, nuotekų šalinimo ir atliekų tvarkymo sistemą</v>
      </c>
      <c r="E85" s="71"/>
      <c r="F85" s="158"/>
      <c r="G85" s="71"/>
      <c r="H85" s="71"/>
      <c r="I85" s="71"/>
      <c r="J85" s="71"/>
      <c r="K85" s="158"/>
      <c r="L85" s="71"/>
      <c r="M85" s="71"/>
      <c r="N85" s="71"/>
      <c r="O85" s="71"/>
      <c r="P85" s="174"/>
      <c r="Q85" s="71"/>
      <c r="R85" s="71"/>
      <c r="S85" s="71"/>
      <c r="T85" s="71"/>
      <c r="U85" s="174"/>
      <c r="V85" s="71"/>
      <c r="W85" s="71"/>
      <c r="X85" s="71"/>
      <c r="Y85" s="49"/>
      <c r="Z85" s="158"/>
      <c r="AA85" s="71"/>
      <c r="AB85" s="71"/>
      <c r="AC85" s="71"/>
      <c r="AD85" s="71"/>
      <c r="AE85" s="174"/>
      <c r="AF85" s="71"/>
      <c r="AG85" s="71"/>
      <c r="AH85" s="71"/>
      <c r="AI85" s="49"/>
      <c r="AJ85" s="158"/>
      <c r="AK85" s="6"/>
    </row>
    <row r="86" spans="2:41" ht="142.5" customHeight="1" x14ac:dyDescent="0.25">
      <c r="B86" s="60" t="str">
        <f>'1 lentelė'!$B85</f>
        <v>2.2.1.1</v>
      </c>
      <c r="C86" s="60"/>
      <c r="D86" s="91" t="str">
        <f>'1 lentelė'!$D85</f>
        <v>Priemonė: Geriamojo vandens tiekimo ir nuotekų tvarkymo sistemų renovavimas ir plėtra, įmonių valdymo tobulinimas</v>
      </c>
      <c r="E86" s="60"/>
      <c r="F86" s="152"/>
      <c r="G86" s="60"/>
      <c r="H86" s="60"/>
      <c r="I86" s="60"/>
      <c r="J86" s="60"/>
      <c r="K86" s="152"/>
      <c r="L86" s="60"/>
      <c r="M86" s="60"/>
      <c r="N86" s="60"/>
      <c r="O86" s="60"/>
      <c r="P86" s="166"/>
      <c r="Q86" s="60"/>
      <c r="R86" s="60"/>
      <c r="S86" s="60"/>
      <c r="T86" s="60"/>
      <c r="U86" s="166"/>
      <c r="V86" s="60"/>
      <c r="W86" s="60"/>
      <c r="X86" s="60"/>
      <c r="Y86" s="50"/>
      <c r="Z86" s="152"/>
      <c r="AA86" s="60"/>
      <c r="AB86" s="60"/>
      <c r="AC86" s="60"/>
      <c r="AD86" s="60"/>
      <c r="AE86" s="166"/>
      <c r="AF86" s="60"/>
      <c r="AG86" s="60"/>
      <c r="AH86" s="60"/>
      <c r="AI86" s="50"/>
      <c r="AJ86" s="152"/>
      <c r="AK86" s="6"/>
    </row>
    <row r="87" spans="2:41" ht="178.5" x14ac:dyDescent="0.25">
      <c r="B87" s="35" t="str">
        <f>'1 lentelė'!$B86</f>
        <v>2.2.1.1.1</v>
      </c>
      <c r="C87" s="35" t="str">
        <f>'1 lentelė'!$C86</f>
        <v>R090014-060700-2201</v>
      </c>
      <c r="D87" s="35" t="str">
        <f>'1 lentelė'!$D86</f>
        <v xml:space="preserve">Vandens tiekimo ir nuotekų tvarkymo infrastruktūros plėtra Ignalinos rajone </v>
      </c>
      <c r="E87" s="35" t="s">
        <v>66</v>
      </c>
      <c r="F87" s="132" t="s">
        <v>956</v>
      </c>
      <c r="G87" s="347" t="str">
        <f>'2 lentelė'!E86</f>
        <v>P.S.333</v>
      </c>
      <c r="H87" s="32" t="str">
        <f>'2 lentelė'!F86</f>
        <v>Rekonstruotų vandens tiekimo ir nuotekų surinkimo tinklų ilgis (km)</v>
      </c>
      <c r="I87" s="32">
        <f>'2 lentelė'!G86</f>
        <v>5.23</v>
      </c>
      <c r="J87" s="32">
        <v>5.23</v>
      </c>
      <c r="K87" s="176">
        <v>4.24</v>
      </c>
      <c r="L87" s="347" t="str">
        <f>'2 lentelė'!H86</f>
        <v>P.N.050</v>
      </c>
      <c r="M87" s="32" t="str">
        <f>'2 lentelė'!I86</f>
        <v>Gyventojai, kuriems teikiamos vandens tiekimo paslaugos naujai pastatytais geriamojo vandens tiekimo tinklais (skaičius)</v>
      </c>
      <c r="N87" s="32">
        <f>'2 lentelė'!J86</f>
        <v>16</v>
      </c>
      <c r="O87" s="32">
        <v>16</v>
      </c>
      <c r="P87" s="134">
        <v>0</v>
      </c>
      <c r="Q87" s="348" t="str">
        <f>'2 lentelė'!K86</f>
        <v>P.N.051</v>
      </c>
      <c r="R87" s="29" t="str">
        <f>'2 lentelė'!L86</f>
        <v>Gyventojai, kuriems teikiamos vandenstiekimo paslaugos iš naujai pastatytų ir (arba) rekonstruotų geriamojo vandens gerinimo įrenginių (skaičius)</v>
      </c>
      <c r="S87" s="283">
        <f>'2 lentelė'!M86</f>
        <v>1298</v>
      </c>
      <c r="T87" s="32">
        <v>1298</v>
      </c>
      <c r="U87" s="134">
        <v>1298</v>
      </c>
      <c r="V87" s="135" t="str">
        <f>'2 lentelė'!N86</f>
        <v>P.N.053</v>
      </c>
      <c r="W87" s="348" t="str">
        <f>'2 lentelė'!O86</f>
        <v>Gyventojai, kuriems teikiamos paslaugos naujai pastatytais nuotekų surinkimo tinklais (GE)</v>
      </c>
      <c r="X87" s="29">
        <f>'2 lentelė'!P86</f>
        <v>120</v>
      </c>
      <c r="Y87" s="32">
        <v>120</v>
      </c>
      <c r="Z87" s="134">
        <v>2</v>
      </c>
      <c r="AA87" s="29" t="str">
        <f>'2 lentelė'!Q86</f>
        <v>P.N.054</v>
      </c>
      <c r="AB87" s="29" t="str">
        <f>'2 lentelė'!R86</f>
        <v>Gyventojai, kuriems teikiamos nuotekų valymo paslaugos naujai pastatytais ir (arba) rekonstruotais nuotekų valymo įrenginiais (GE)</v>
      </c>
      <c r="AC87" s="29">
        <f>'2 lentelė'!S86</f>
        <v>27</v>
      </c>
      <c r="AD87" s="29">
        <v>27</v>
      </c>
      <c r="AE87" s="134">
        <v>27</v>
      </c>
      <c r="AF87" s="29" t="str">
        <f>'2 lentelė'!T86</f>
        <v>P.B.218</v>
      </c>
      <c r="AG87" s="29" t="str">
        <f>'2 lentelė'!U86</f>
        <v>Papildomi gyventojai, kuriems teikiamos pagerintos vandens tiekimo paslaugos</v>
      </c>
      <c r="AH87" s="29">
        <f>'2 lentelė'!V86</f>
        <v>1314</v>
      </c>
      <c r="AI87" s="29">
        <v>1314</v>
      </c>
      <c r="AJ87" s="275">
        <v>1299</v>
      </c>
      <c r="AK87" s="176" t="s">
        <v>741</v>
      </c>
      <c r="AL87" s="32" t="s">
        <v>742</v>
      </c>
      <c r="AM87" s="32">
        <v>147</v>
      </c>
      <c r="AN87" s="32">
        <v>147</v>
      </c>
      <c r="AO87" s="275">
        <v>29</v>
      </c>
    </row>
    <row r="88" spans="2:41" ht="165.75" x14ac:dyDescent="0.25">
      <c r="B88" s="35" t="str">
        <f>'1 lentelė'!$B87</f>
        <v>2.2.1.1.2</v>
      </c>
      <c r="C88" s="35" t="str">
        <f>'1 lentelė'!$C87</f>
        <v>R090014-070000-2202</v>
      </c>
      <c r="D88" s="35" t="str">
        <f>'1 lentelė'!$D87</f>
        <v xml:space="preserve">Vandens tiekimo ir nuotekų tvarkymo infrastruktūros plėtra ir rekonstravimas Zarasų rajono savivaldybėje </v>
      </c>
      <c r="E88" s="35" t="s">
        <v>66</v>
      </c>
      <c r="F88" s="132" t="s">
        <v>957</v>
      </c>
      <c r="G88" s="347" t="str">
        <f>'2 lentelė'!E87</f>
        <v>P.N.050</v>
      </c>
      <c r="H88" s="32" t="str">
        <f>'2 lentelė'!F87</f>
        <v>Gyventojai, kuriems teikiamos vandens tiekimo paslaugos naujai pastatytais geriamojo vandens tiekimo tinklais (skaičius)</v>
      </c>
      <c r="I88" s="32">
        <f>'2 lentelė'!G87</f>
        <v>106</v>
      </c>
      <c r="J88" s="32">
        <v>106</v>
      </c>
      <c r="K88" s="176">
        <v>0</v>
      </c>
      <c r="L88" s="347" t="str">
        <f>'2 lentelė'!H87</f>
        <v>P.N.053</v>
      </c>
      <c r="M88" s="32" t="str">
        <f>'2 lentelė'!I87</f>
        <v>Gyventojai, kuriems teikiamos paslaugos naujai pastatytais nuotekų surinkimo tinklais (GE)</v>
      </c>
      <c r="N88" s="32">
        <f>'2 lentelė'!J87</f>
        <v>358</v>
      </c>
      <c r="O88" s="32">
        <v>358</v>
      </c>
      <c r="P88" s="134">
        <v>0</v>
      </c>
      <c r="Q88" s="348" t="str">
        <f>'2 lentelė'!K87</f>
        <v>P.N.054</v>
      </c>
      <c r="R88" s="29" t="str">
        <f>'2 lentelė'!L87</f>
        <v xml:space="preserve">Gyventojai, kuriems teikiamos nuotekų valymo paslaugos naujai pastatytais ir (arba) rekonstruotais nuotekų valymo įrenginiais </v>
      </c>
      <c r="S88" s="283">
        <f>'2 lentelė'!M87</f>
        <v>42</v>
      </c>
      <c r="T88" s="32">
        <v>42</v>
      </c>
      <c r="U88" s="134">
        <v>42</v>
      </c>
      <c r="V88" s="135" t="str">
        <f>'2 lentelė'!N87</f>
        <v>P.B.218</v>
      </c>
      <c r="W88" s="348" t="str">
        <f>'2 lentelė'!O87</f>
        <v>Papildomi gyventojai, kuriems teikiamos pagerintos vandens tiekimo paslaugos</v>
      </c>
      <c r="X88" s="29">
        <f>'2 lentelė'!P87</f>
        <v>106</v>
      </c>
      <c r="Y88" s="32">
        <v>106</v>
      </c>
      <c r="Z88" s="134">
        <v>0</v>
      </c>
      <c r="AA88" s="29" t="str">
        <f>'2 lentelė'!Q87</f>
        <v>P.B.219</v>
      </c>
      <c r="AB88" s="29" t="str">
        <f>'2 lentelė'!R87</f>
        <v>Papildomi gyventojai, kuriems teikiamos pagerintos nuotekų tvarkymo paslaugos</v>
      </c>
      <c r="AC88" s="29">
        <f>'2 lentelė'!S87</f>
        <v>400</v>
      </c>
      <c r="AD88" s="29">
        <v>400</v>
      </c>
      <c r="AE88" s="134">
        <v>42</v>
      </c>
      <c r="AF88" s="29"/>
      <c r="AG88" s="29"/>
      <c r="AH88" s="29"/>
      <c r="AI88" s="29"/>
      <c r="AJ88" s="275"/>
      <c r="AK88" s="33"/>
      <c r="AL88" s="6"/>
      <c r="AM88" s="6"/>
      <c r="AN88" s="6"/>
      <c r="AO88" s="6"/>
    </row>
    <row r="89" spans="2:41" ht="89.25" x14ac:dyDescent="0.25">
      <c r="B89" s="35" t="str">
        <f>'1 lentelė'!$B88</f>
        <v>2.2.1.1.3</v>
      </c>
      <c r="C89" s="35" t="str">
        <f>'1 lentelė'!$C88</f>
        <v>R090014-060000-2203</v>
      </c>
      <c r="D89" s="35" t="str">
        <f>'1 lentelė'!$D88</f>
        <v xml:space="preserve">Vandens tiekimo ir nuotekų tinklų rekonstravimas Visagine </v>
      </c>
      <c r="E89" s="35" t="s">
        <v>66</v>
      </c>
      <c r="F89" s="132" t="s">
        <v>960</v>
      </c>
      <c r="G89" s="347" t="str">
        <f>'2 lentelė'!E88</f>
        <v>P.S.333</v>
      </c>
      <c r="H89" s="32" t="str">
        <f>'2 lentelė'!F88</f>
        <v>Rekonstruotų vandens tiekimo ir nuotekų surinkimo tinklų ilgis (km)</v>
      </c>
      <c r="I89" s="32">
        <f>'2 lentelė'!G88</f>
        <v>19.37</v>
      </c>
      <c r="J89" s="32">
        <v>19.579999999999998</v>
      </c>
      <c r="K89" s="176">
        <v>19.37</v>
      </c>
      <c r="L89" s="347"/>
      <c r="M89" s="32"/>
      <c r="N89" s="32"/>
      <c r="O89" s="32"/>
      <c r="P89" s="134"/>
      <c r="Q89" s="348"/>
      <c r="R89" s="29"/>
      <c r="S89" s="283"/>
      <c r="T89" s="32"/>
      <c r="U89" s="134"/>
      <c r="V89" s="135"/>
      <c r="W89" s="348"/>
      <c r="X89" s="29"/>
      <c r="Y89" s="32"/>
      <c r="Z89" s="134"/>
      <c r="AA89" s="29"/>
      <c r="AB89" s="29"/>
      <c r="AC89" s="29"/>
      <c r="AD89" s="29"/>
      <c r="AE89" s="134"/>
      <c r="AF89" s="29"/>
      <c r="AG89" s="29"/>
      <c r="AH89" s="29"/>
      <c r="AI89" s="29"/>
      <c r="AJ89" s="275"/>
      <c r="AK89" s="33"/>
    </row>
    <row r="90" spans="2:41" ht="165.75" x14ac:dyDescent="0.25">
      <c r="B90" s="35" t="str">
        <f>'1 lentelė'!$B89</f>
        <v>2.2.1.1.4</v>
      </c>
      <c r="C90" s="35" t="str">
        <f>'1 lentelė'!$C89</f>
        <v>R090014-070600-2204</v>
      </c>
      <c r="D90" s="35" t="str">
        <f>'1 lentelė'!$D89</f>
        <v>Vandens tiekimo ir nuotekų tvarkymo infrastruktūros plėtra ir rekonstrukcija Anykščių r. sav. Kurklių miestelyje</v>
      </c>
      <c r="E90" s="35" t="s">
        <v>66</v>
      </c>
      <c r="F90" s="132" t="s">
        <v>959</v>
      </c>
      <c r="G90" s="347" t="str">
        <f>'2 lentelė'!E89</f>
        <v>P.N.050</v>
      </c>
      <c r="H90" s="32" t="str">
        <f>'2 lentelė'!F89</f>
        <v>Gyventojai, kuriems teikiamos vandens tiekimo paslaugos naujai pastatytais geriamojo vandens tiekimo tinklais (skaičius)</v>
      </c>
      <c r="I90" s="32">
        <f>'2 lentelė'!G89</f>
        <v>328</v>
      </c>
      <c r="J90" s="32">
        <v>328</v>
      </c>
      <c r="K90" s="176">
        <v>18</v>
      </c>
      <c r="L90" s="347" t="str">
        <f>'2 lentelė'!H89</f>
        <v>P.N.053</v>
      </c>
      <c r="M90" s="32" t="str">
        <f>'2 lentelė'!I89</f>
        <v>Gyventojai, kuriems teikiamos paslaugos naujai pastatytais nuotekų surinkimo tinklais (GE)</v>
      </c>
      <c r="N90" s="32">
        <f>'2 lentelė'!J89</f>
        <v>273</v>
      </c>
      <c r="O90" s="32">
        <v>273</v>
      </c>
      <c r="P90" s="134">
        <v>20</v>
      </c>
      <c r="Q90" s="348" t="str">
        <f>'2 lentelė'!K89</f>
        <v>P.N.054</v>
      </c>
      <c r="R90" s="29" t="str">
        <f>'2 lentelė'!L89</f>
        <v xml:space="preserve">Gyventojai, kuriems teikiamos nuotekų valymo paslaugos naujai pastatytais ir (arba) rekonstruotais nuotekų valymo įrenginiais </v>
      </c>
      <c r="S90" s="283">
        <f>'2 lentelė'!M89</f>
        <v>350</v>
      </c>
      <c r="T90" s="32">
        <v>350</v>
      </c>
      <c r="U90" s="134">
        <v>20</v>
      </c>
      <c r="V90" s="135" t="str">
        <f>'2 lentelė'!N89</f>
        <v>P.S.333</v>
      </c>
      <c r="W90" s="135" t="str">
        <f>'2 lentelė'!O89</f>
        <v>Rekonstruotų vandens tiekimo ir nuotekų surinkimo tinklų ilgis (km)</v>
      </c>
      <c r="X90" s="135">
        <f>'2 lentelė'!P89</f>
        <v>0.31</v>
      </c>
      <c r="Y90" s="32">
        <v>0.31</v>
      </c>
      <c r="Z90" s="134">
        <v>0.31</v>
      </c>
      <c r="AA90" s="29" t="str">
        <f>'2 lentelė'!Q89</f>
        <v>P.B.218</v>
      </c>
      <c r="AB90" s="29" t="str">
        <f>'2 lentelė'!R89</f>
        <v>Papildomi gyventojai, kuriems teikiamos pagerintos vandens tiekimo paslaugos</v>
      </c>
      <c r="AC90" s="29">
        <f>'2 lentelė'!S89</f>
        <v>328</v>
      </c>
      <c r="AD90" s="29">
        <v>328</v>
      </c>
      <c r="AE90" s="134">
        <v>18</v>
      </c>
      <c r="AF90" s="29" t="str">
        <f>'2 lentelė'!T89</f>
        <v>P.B.219</v>
      </c>
      <c r="AG90" s="29" t="str">
        <f>'2 lentelė'!U89</f>
        <v>Papildomi gyventojai, kuriems teikiamos pagerintos nuotekų tvarkymo paslaugos</v>
      </c>
      <c r="AH90" s="29">
        <f>'2 lentelė'!V89</f>
        <v>350</v>
      </c>
      <c r="AI90" s="29">
        <v>350</v>
      </c>
      <c r="AJ90" s="275">
        <v>20</v>
      </c>
      <c r="AK90" s="33"/>
    </row>
    <row r="91" spans="2:41" ht="165.75" x14ac:dyDescent="0.25">
      <c r="B91" s="35" t="str">
        <f>'1 lentelė'!$B90</f>
        <v>2.2.1.1.5</v>
      </c>
      <c r="C91" s="35" t="str">
        <f>'1 lentelė'!$C90</f>
        <v>R090014-070600-2205</v>
      </c>
      <c r="D91" s="35" t="str">
        <f>'1 lentelė'!$D90</f>
        <v xml:space="preserve"> Vandens tiekimo ir nuotekų tvarkymo infrastruktūros plėtra ir rekonstrukcija Molėtų rajone </v>
      </c>
      <c r="E91" s="35" t="s">
        <v>66</v>
      </c>
      <c r="F91" s="132" t="s">
        <v>958</v>
      </c>
      <c r="G91" s="347" t="str">
        <f>'2 lentelė'!E90</f>
        <v>P.N.050</v>
      </c>
      <c r="H91" s="32" t="str">
        <f>'2 lentelė'!F90</f>
        <v>Gyventojai, kuriems teikiamos vandens tiekimo paslaugos naujai pastatytais geriamojo vandens tiekimo tinklais (skaičius)</v>
      </c>
      <c r="I91" s="32">
        <f>'2 lentelė'!G90</f>
        <v>20</v>
      </c>
      <c r="J91" s="32">
        <v>20</v>
      </c>
      <c r="K91" s="176">
        <v>0</v>
      </c>
      <c r="L91" s="347" t="str">
        <f>'2 lentelė'!H90</f>
        <v>P.N.053</v>
      </c>
      <c r="M91" s="32" t="str">
        <f>'2 lentelė'!I90</f>
        <v>Gyventojai, kuriems teikiamos paslaugos naujai pastatytais nuotekų surinkimo tinklais (GE)</v>
      </c>
      <c r="N91" s="32">
        <f>'2 lentelė'!J90</f>
        <v>210</v>
      </c>
      <c r="O91" s="32">
        <v>210</v>
      </c>
      <c r="P91" s="134">
        <v>0</v>
      </c>
      <c r="Q91" s="348" t="str">
        <f>'2 lentelė'!K90</f>
        <v>P.N.054</v>
      </c>
      <c r="R91" s="29" t="str">
        <f>'2 lentelė'!L90</f>
        <v xml:space="preserve">Gyventojai, kuriems teikiamos nuotekų valymo paslaugos naujai pastatytais ir (arba) rekonstruotais nuotekų valymo įrenginiais </v>
      </c>
      <c r="S91" s="29">
        <f>'2 lentelė'!M90</f>
        <v>194</v>
      </c>
      <c r="T91" s="32">
        <v>194</v>
      </c>
      <c r="U91" s="134">
        <v>229</v>
      </c>
      <c r="V91" s="135" t="str">
        <f>'2 lentelė'!N90</f>
        <v>P.S.333</v>
      </c>
      <c r="W91" s="348" t="str">
        <f>'2 lentelė'!O90</f>
        <v>Rekonstruotų vandens tiekimo ir nuotekų surinkimo tinklų ilgis (km)</v>
      </c>
      <c r="X91" s="29">
        <f>'2 lentelė'!P90</f>
        <v>2.4300000000000002</v>
      </c>
      <c r="Y91" s="32">
        <v>2.4300000000000002</v>
      </c>
      <c r="Z91" s="134">
        <v>2.4300000000000002</v>
      </c>
      <c r="AA91" s="29" t="str">
        <f>'2 lentelė'!Q90</f>
        <v>P.B.218</v>
      </c>
      <c r="AB91" s="29" t="str">
        <f>'2 lentelė'!R90</f>
        <v>Papildomi gyventojai, kuriems teikiamos pagerintos vandens tiekimo paslaugos</v>
      </c>
      <c r="AC91" s="29">
        <f>'2 lentelė'!S90</f>
        <v>20</v>
      </c>
      <c r="AD91" s="29">
        <v>20</v>
      </c>
      <c r="AE91" s="134">
        <v>0</v>
      </c>
      <c r="AF91" s="29" t="str">
        <f>'2 lentelė'!T90</f>
        <v>P.B.219</v>
      </c>
      <c r="AG91" s="29" t="str">
        <f>'2 lentelė'!U90</f>
        <v>Papildomi gyventojai, kuriems teikiamos pagerintos nuotekų tvarkymo paslaugos</v>
      </c>
      <c r="AH91" s="29">
        <f>'2 lentelė'!V90</f>
        <v>404</v>
      </c>
      <c r="AI91" s="29">
        <v>404</v>
      </c>
      <c r="AJ91" s="275">
        <v>229</v>
      </c>
      <c r="AK91" s="33"/>
    </row>
    <row r="92" spans="2:41" ht="140.25" x14ac:dyDescent="0.25">
      <c r="B92" s="35" t="str">
        <f>'1 lentelė'!$B91</f>
        <v>2.2.1.1.6</v>
      </c>
      <c r="C92" s="35" t="str">
        <f>'1 lentelė'!$C91</f>
        <v>R090014-075000-2206</v>
      </c>
      <c r="D92" s="35" t="str">
        <f>'1 lentelė'!$D91</f>
        <v>Vandens tiekimo ir nuotekų tvarkymo infrastruktūros plėtra Utenos rajone (Jasonių k.)</v>
      </c>
      <c r="E92" s="35" t="s">
        <v>66</v>
      </c>
      <c r="F92" s="132" t="s">
        <v>961</v>
      </c>
      <c r="G92" s="347" t="str">
        <f>'2 lentelė'!E91</f>
        <v>P.N.050</v>
      </c>
      <c r="H92" s="32" t="str">
        <f>'2 lentelė'!F91</f>
        <v>Gyventojai, kuriems tiekiamos vandens tiekimo paslaugos naujai pastatytais tinklais (skaičius)</v>
      </c>
      <c r="I92" s="32">
        <f>'2 lentelė'!G91</f>
        <v>544</v>
      </c>
      <c r="J92" s="32">
        <v>544</v>
      </c>
      <c r="K92" s="176">
        <v>162</v>
      </c>
      <c r="L92" s="347" t="str">
        <f>'2 lentelė'!H91</f>
        <v>P.N.053</v>
      </c>
      <c r="M92" s="32" t="str">
        <f>'2 lentelė'!I91</f>
        <v>Gyventojai, kuriems tiekiamos vandens tiekimo paslaugos naujai pastatytais nuotekųsurinkimo tinklais (GE)</v>
      </c>
      <c r="N92" s="32">
        <f>'2 lentelė'!J91</f>
        <v>634</v>
      </c>
      <c r="O92" s="32">
        <v>634</v>
      </c>
      <c r="P92" s="134">
        <v>252</v>
      </c>
      <c r="Q92" s="348" t="str">
        <f>'2 lentelė'!K91</f>
        <v>P.B.218</v>
      </c>
      <c r="R92" s="29" t="str">
        <f>'2 lentelė'!L91</f>
        <v>Papildomi gyventojai, kuriems teikiamos pagerintos vandens tiekimo paslaugos</v>
      </c>
      <c r="S92" s="29">
        <f>'2 lentelė'!M91</f>
        <v>544</v>
      </c>
      <c r="T92" s="32">
        <v>544</v>
      </c>
      <c r="U92" s="134">
        <v>162</v>
      </c>
      <c r="V92" s="135" t="str">
        <f>'2 lentelė'!N91</f>
        <v>P.B.219</v>
      </c>
      <c r="W92" s="348" t="str">
        <f>'2 lentelė'!O91</f>
        <v>Papildomi gyventojai, kuriems teikiamos pagerintos nuotekų tvarkymo paslaugos</v>
      </c>
      <c r="X92" s="29">
        <f>'2 lentelė'!P91</f>
        <v>634</v>
      </c>
      <c r="Y92" s="32">
        <v>634</v>
      </c>
      <c r="Z92" s="134">
        <v>252</v>
      </c>
      <c r="AA92" s="29"/>
      <c r="AB92" s="29"/>
      <c r="AC92" s="29"/>
      <c r="AD92" s="29"/>
      <c r="AE92" s="134"/>
      <c r="AF92" s="29"/>
      <c r="AG92" s="29"/>
      <c r="AH92" s="29"/>
      <c r="AI92" s="29"/>
      <c r="AJ92" s="275"/>
      <c r="AK92" s="33"/>
    </row>
    <row r="93" spans="2:41" ht="87.75" customHeight="1" x14ac:dyDescent="0.25">
      <c r="B93" s="35" t="str">
        <f>'1 lentelė'!$B92</f>
        <v>2.2.1.1.7</v>
      </c>
      <c r="C93" s="35" t="str">
        <f>'1 lentelė'!$C92</f>
        <v>R090014-060000-2225</v>
      </c>
      <c r="D93" s="35" t="str">
        <f>'1 lentelė'!$D92</f>
        <v>Vandens tiekimo ir nuotekų tvarkymo infrastruktūros rekonstrukcija ir inventorizacija Ignalinos rajone</v>
      </c>
      <c r="E93" s="35" t="s">
        <v>66</v>
      </c>
      <c r="F93" s="132" t="s">
        <v>962</v>
      </c>
      <c r="G93" s="347" t="str">
        <f>'2 lentelė'!E92</f>
        <v>P.S.333</v>
      </c>
      <c r="H93" s="32" t="str">
        <f>'2 lentelė'!F92</f>
        <v>Rekonstruotų vandens tiekimo ir nuotekų surinkimo tinklų ilgis (km)</v>
      </c>
      <c r="I93" s="32">
        <f>'2 lentelė'!G92</f>
        <v>0.95</v>
      </c>
      <c r="J93" s="32">
        <v>0</v>
      </c>
      <c r="K93" s="176">
        <v>0</v>
      </c>
      <c r="L93" s="347"/>
      <c r="M93" s="32"/>
      <c r="N93" s="32"/>
      <c r="O93" s="32"/>
      <c r="P93" s="134"/>
      <c r="Q93" s="348"/>
      <c r="R93" s="29"/>
      <c r="S93" s="29"/>
      <c r="T93" s="32"/>
      <c r="U93" s="134"/>
      <c r="V93" s="135"/>
      <c r="W93" s="348"/>
      <c r="X93" s="29"/>
      <c r="Y93" s="32"/>
      <c r="Z93" s="134"/>
      <c r="AA93" s="29"/>
      <c r="AB93" s="29"/>
      <c r="AC93" s="29"/>
      <c r="AD93" s="29"/>
      <c r="AE93" s="134"/>
      <c r="AF93" s="29"/>
      <c r="AG93" s="29"/>
      <c r="AH93" s="29"/>
      <c r="AI93" s="29"/>
      <c r="AJ93" s="275"/>
      <c r="AK93" s="33"/>
    </row>
    <row r="94" spans="2:41" ht="165.75" x14ac:dyDescent="0.25">
      <c r="B94" s="35" t="str">
        <f>'1 lentelė'!$B93</f>
        <v>2.2.1.1.8</v>
      </c>
      <c r="C94" s="35" t="str">
        <f>'1 lentelė'!$C93</f>
        <v>R090014-075000-2226</v>
      </c>
      <c r="D94" s="35" t="str">
        <f>'1 lentelė'!$D93</f>
        <v>Vandens tiekimo ir nuotekų tvarkymo infrastruktūros plėtra Utenos rajone (Jasonių k. II etapas)</v>
      </c>
      <c r="E94" s="35" t="s">
        <v>66</v>
      </c>
      <c r="F94" s="132" t="s">
        <v>964</v>
      </c>
      <c r="G94" s="347" t="str">
        <f>'2 lentelė'!E93</f>
        <v>P.N.050</v>
      </c>
      <c r="H94" s="32" t="str">
        <f>'2 lentelė'!F93</f>
        <v>Gyventojai, kuriems teikiamos vandens tiekimo paslaugos naujai pastatytais geriamojo vandens tiekimo tinklais (skaičius)</v>
      </c>
      <c r="I94" s="32">
        <f>'2 lentelė'!G93</f>
        <v>153</v>
      </c>
      <c r="J94" s="32">
        <v>153</v>
      </c>
      <c r="K94" s="176">
        <v>9</v>
      </c>
      <c r="L94" s="347"/>
      <c r="M94" s="32"/>
      <c r="N94" s="32"/>
      <c r="O94" s="32"/>
      <c r="P94" s="134"/>
      <c r="Q94" s="348" t="str">
        <f>'2 lentelė'!K93</f>
        <v>P.N.053</v>
      </c>
      <c r="R94" s="29" t="str">
        <f>'2 lentelė'!L93</f>
        <v>Gyventojai, kuriems teikiamos paslaugos naujai pastatytais nuotekų surinkimo tinklais (GE)</v>
      </c>
      <c r="S94" s="29">
        <f>'2 lentelė'!M93</f>
        <v>153</v>
      </c>
      <c r="T94" s="32">
        <v>153</v>
      </c>
      <c r="U94" s="134">
        <v>9</v>
      </c>
      <c r="V94" s="135" t="str">
        <f>'2 lentelė'!T93</f>
        <v>P.B.219</v>
      </c>
      <c r="W94" s="348" t="str">
        <f>'2 lentelė'!U93</f>
        <v>Papildomi gyventojai, kuriems teikiamos pagerintos nuotekų tvarkymo paslaugos</v>
      </c>
      <c r="X94" s="29">
        <f>'2 lentelė'!V93</f>
        <v>153</v>
      </c>
      <c r="Y94" s="32">
        <v>153</v>
      </c>
      <c r="Z94" s="134">
        <v>9</v>
      </c>
      <c r="AA94" s="29" t="str">
        <f>'2 lentelė'!Q93</f>
        <v>P.B.218</v>
      </c>
      <c r="AB94" s="29" t="str">
        <f>'2 lentelė'!R93</f>
        <v>Papildomi gyventojai, kuriems teikiamos pagerintos vandens tiekimo paslaugos</v>
      </c>
      <c r="AC94" s="29">
        <f>'2 lentelė'!S93</f>
        <v>153</v>
      </c>
      <c r="AD94" s="29">
        <v>153</v>
      </c>
      <c r="AE94" s="134">
        <v>9</v>
      </c>
      <c r="AF94" s="29"/>
      <c r="AG94" s="29"/>
      <c r="AH94" s="29"/>
      <c r="AI94" s="29"/>
      <c r="AJ94" s="275"/>
      <c r="AK94" s="33"/>
    </row>
    <row r="95" spans="2:41" ht="165.75" x14ac:dyDescent="0.25">
      <c r="B95" s="35" t="str">
        <f>'1 lentelė'!$B94</f>
        <v>2.2.1.1.9</v>
      </c>
      <c r="C95" s="35" t="str">
        <f>'1 lentelė'!$C94</f>
        <v>R090014-070000-2227</v>
      </c>
      <c r="D95" s="35" t="str">
        <f>'1 lentelė'!$D94</f>
        <v>Vandentiekio ir nuotekų tinklų Anykščių aglomeracijoje (sodų bendrija ,,Šaltupys" ir Keblonių k.) statybos darbai.</v>
      </c>
      <c r="E95" s="35" t="s">
        <v>66</v>
      </c>
      <c r="F95" s="132" t="s">
        <v>963</v>
      </c>
      <c r="G95" s="347" t="str">
        <f>'2 lentelė'!E94</f>
        <v>P.N.050</v>
      </c>
      <c r="H95" s="32" t="str">
        <f>'2 lentelė'!F94</f>
        <v>Gyventojai, kuriems teikiamos vandens tiekimo paslaugos naujai pastatytais geriamojo vandens tiekimo tinklais (skaičius)</v>
      </c>
      <c r="I95" s="32">
        <f>'2 lentelė'!G94</f>
        <v>288</v>
      </c>
      <c r="J95" s="32">
        <v>288</v>
      </c>
      <c r="K95" s="176">
        <v>0</v>
      </c>
      <c r="L95" s="347" t="str">
        <f>'2 lentelė'!H94</f>
        <v>P.N.053</v>
      </c>
      <c r="M95" s="32" t="str">
        <f>'2 lentelė'!I94</f>
        <v>Gyventojai, kuriems teikiamos paslaugos naujai pastatytais nuotekų surinkimo tinklais (GE)</v>
      </c>
      <c r="N95" s="32">
        <f>'2 lentelė'!J94</f>
        <v>288</v>
      </c>
      <c r="O95" s="32">
        <v>288</v>
      </c>
      <c r="P95" s="134">
        <v>0</v>
      </c>
      <c r="Q95" s="348" t="str">
        <f>'2 lentelė'!K94</f>
        <v>P.B.218</v>
      </c>
      <c r="R95" s="29" t="str">
        <f>'2 lentelė'!L94</f>
        <v>Papildomi gyventojai, kuriems teikiamos pagerintos vandens tiekimo paslaugos</v>
      </c>
      <c r="S95" s="29">
        <f>'2 lentelė'!M94</f>
        <v>288</v>
      </c>
      <c r="T95" s="32">
        <v>288</v>
      </c>
      <c r="U95" s="134">
        <v>0</v>
      </c>
      <c r="V95" s="135" t="str">
        <f>'2 lentelė'!N94</f>
        <v>P.B.219</v>
      </c>
      <c r="W95" s="348" t="str">
        <f>'2 lentelė'!O94</f>
        <v>Papildomi gyventojai, kuriems teikiamos pagerintos nuotekų tvarkymo paslaugos</v>
      </c>
      <c r="X95" s="29">
        <f>'2 lentelė'!P94</f>
        <v>288</v>
      </c>
      <c r="Y95" s="32">
        <v>288</v>
      </c>
      <c r="Z95" s="134">
        <v>0</v>
      </c>
      <c r="AA95" s="29"/>
      <c r="AB95" s="29"/>
      <c r="AC95" s="29"/>
      <c r="AD95" s="29"/>
      <c r="AE95" s="134"/>
      <c r="AF95" s="29"/>
      <c r="AG95" s="29"/>
      <c r="AH95" s="29"/>
      <c r="AI95" s="29"/>
      <c r="AJ95" s="275"/>
      <c r="AK95" s="33"/>
    </row>
    <row r="96" spans="2:41" ht="178.5" x14ac:dyDescent="0.25">
      <c r="B96" s="35" t="str">
        <f>'1 lentelė'!$B95</f>
        <v>2.2.1.1.10</v>
      </c>
      <c r="C96" s="35" t="str">
        <f>'1 lentelė'!$C95</f>
        <v>R090014-070600-2228</v>
      </c>
      <c r="D96" s="35" t="str">
        <f>'1 lentelė'!$D95</f>
        <v>Vandens tiekimo ir nuotekų tvarkymo infrastruktūros plėtra ir rekonstravimas Zarasų rajono savivaldybėje (II etapas)</v>
      </c>
      <c r="E96" s="35" t="s">
        <v>66</v>
      </c>
      <c r="F96" s="132" t="s">
        <v>1466</v>
      </c>
      <c r="G96" s="347" t="str">
        <f>'2 lentelė'!E95</f>
        <v>P.N.050</v>
      </c>
      <c r="H96" s="32" t="str">
        <f>'2 lentelė'!F95</f>
        <v>Gyventojai, kuriems teikiamos vandens tiekimo paslaugos naujai pastatytais geriamojo vandens tiekimo tinklais (skaičius)</v>
      </c>
      <c r="I96" s="32">
        <f>'2 lentelė'!G95</f>
        <v>44</v>
      </c>
      <c r="J96" s="32">
        <v>44</v>
      </c>
      <c r="K96" s="176">
        <v>0</v>
      </c>
      <c r="L96" s="347" t="str">
        <f>'2 lentelė'!H95</f>
        <v>P.N.053</v>
      </c>
      <c r="M96" s="32" t="str">
        <f>'2 lentelė'!I95</f>
        <v>Gyventojai, kuriems teikiamos paslaugos naujai pastatytais nuotekų surinkimo tinklais (GE)</v>
      </c>
      <c r="N96" s="32">
        <f>'2 lentelė'!J95</f>
        <v>93</v>
      </c>
      <c r="O96" s="32">
        <v>93</v>
      </c>
      <c r="P96" s="134">
        <v>0</v>
      </c>
      <c r="Q96" s="348" t="str">
        <f>'2 lentelė'!K95</f>
        <v>P.N.054</v>
      </c>
      <c r="R96" s="29" t="str">
        <f>'2 lentelė'!L95</f>
        <v>Gyventojai, kuriems teikiamos nuotekų valymo paslaugos naujai pastatytais ir (arba) rekonstruotais nuotekų valymo įrenginiais (GE)</v>
      </c>
      <c r="S96" s="283">
        <f>'2 lentelė'!M95</f>
        <v>62</v>
      </c>
      <c r="T96" s="32">
        <v>62</v>
      </c>
      <c r="U96" s="134">
        <v>0</v>
      </c>
      <c r="V96" s="348" t="str">
        <f>'2 lentelė'!N95</f>
        <v>P.B.218</v>
      </c>
      <c r="W96" s="29" t="str">
        <f>'2 lentelė'!O95</f>
        <v>Papildomi gyventojai, kuriems teikiamos pagerintos vandens tiekimo paslaugos</v>
      </c>
      <c r="X96" s="283">
        <f>'2 lentelė'!P95</f>
        <v>44</v>
      </c>
      <c r="Y96" s="32">
        <v>44</v>
      </c>
      <c r="Z96" s="134">
        <v>0</v>
      </c>
      <c r="AA96" s="29" t="str">
        <f>'2 lentelė'!Q95</f>
        <v>P.B.219</v>
      </c>
      <c r="AB96" s="29" t="str">
        <f>'2 lentelė'!R95</f>
        <v>Papildomi gyventojai, kuriems teikiamos pagerintos nuotekų tvarkymo paslaugos</v>
      </c>
      <c r="AC96" s="29">
        <f>'2 lentelė'!S95</f>
        <v>155</v>
      </c>
      <c r="AD96" s="29">
        <v>155</v>
      </c>
      <c r="AE96" s="134">
        <v>0</v>
      </c>
      <c r="AF96" s="29"/>
      <c r="AG96" s="29"/>
      <c r="AH96" s="29"/>
      <c r="AI96" s="29"/>
      <c r="AJ96" s="275"/>
      <c r="AK96" s="33"/>
    </row>
    <row r="97" spans="2:37" ht="165.75" x14ac:dyDescent="0.25">
      <c r="B97" s="35" t="str">
        <f>'1 lentelė'!$B96</f>
        <v>2.2.1.1.11</v>
      </c>
      <c r="C97" s="35" t="str">
        <f>'1 lentelė'!$C96</f>
        <v>R090014-070600-2229</v>
      </c>
      <c r="D97" s="35" t="str">
        <f>'1 lentelė'!$D96</f>
        <v>Vandens tiekimo ir nuotekų tvarkymo infrastruktūros plėtra ir rekonstrukcija Molėtų rajone (II etapas)</v>
      </c>
      <c r="E97" s="35" t="s">
        <v>66</v>
      </c>
      <c r="F97" s="132" t="s">
        <v>1467</v>
      </c>
      <c r="G97" s="347" t="str">
        <f>'2 lentelė'!E96</f>
        <v>P.N.050</v>
      </c>
      <c r="H97" s="32" t="str">
        <f>'2 lentelė'!F96</f>
        <v>Gyventojai, kuriems teikiamos vandens tiekimo paslaugos naujai pastatytais geriamojo vandens tiekimo tinklais (skaičius)</v>
      </c>
      <c r="I97" s="32">
        <f>'2 lentelė'!G96</f>
        <v>32</v>
      </c>
      <c r="J97" s="32">
        <v>32</v>
      </c>
      <c r="K97" s="176">
        <v>0</v>
      </c>
      <c r="L97" s="347" t="str">
        <f>'2 lentelė'!H96</f>
        <v>P.N.053</v>
      </c>
      <c r="M97" s="32" t="str">
        <f>'2 lentelė'!I96</f>
        <v>Gyventojai, kuriems teikiamos paslaugos naujai pastatytais nuotekų surinkimo tinklais (GE)</v>
      </c>
      <c r="N97" s="32">
        <f>'2 lentelė'!J96</f>
        <v>107</v>
      </c>
      <c r="O97" s="32">
        <v>107</v>
      </c>
      <c r="P97" s="134">
        <v>0</v>
      </c>
      <c r="Q97" s="348" t="str">
        <f>'2 lentelė'!K96</f>
        <v>P.S.333</v>
      </c>
      <c r="R97" s="29" t="str">
        <f>'2 lentelė'!L96</f>
        <v>Rekonstruotų vandens tiekimo ir nuotekų surinkimo tinklų ilgis (km)</v>
      </c>
      <c r="S97" s="283">
        <f>'2 lentelė'!M96</f>
        <v>0.1</v>
      </c>
      <c r="T97" s="32">
        <v>0.1</v>
      </c>
      <c r="U97" s="134">
        <v>0</v>
      </c>
      <c r="V97" s="348" t="str">
        <f>'2 lentelė'!N96</f>
        <v>P.B.219</v>
      </c>
      <c r="W97" s="29" t="str">
        <f>'2 lentelė'!O96</f>
        <v>Papildomi gyventojai, kuriems teikiamos pagerintos nuotekų tvarkymo paslaugos</v>
      </c>
      <c r="X97" s="283">
        <f>'2 lentelė'!P96</f>
        <v>107</v>
      </c>
      <c r="Y97" s="32">
        <v>107</v>
      </c>
      <c r="Z97" s="134">
        <v>0</v>
      </c>
      <c r="AA97" s="29" t="str">
        <f>'2 lentelė'!Q96</f>
        <v>P.B.218</v>
      </c>
      <c r="AB97" s="29" t="str">
        <f>'2 lentelė'!R96</f>
        <v>Papildomi gyventojai, kuriems teikiamos pagerintos vandens tiekimo paslaugos</v>
      </c>
      <c r="AC97" s="29">
        <f>'2 lentelė'!S96</f>
        <v>32</v>
      </c>
      <c r="AD97" s="29">
        <v>32</v>
      </c>
      <c r="AE97" s="134">
        <v>0</v>
      </c>
      <c r="AF97" s="29"/>
      <c r="AG97" s="29"/>
      <c r="AH97" s="29"/>
      <c r="AI97" s="29"/>
      <c r="AJ97" s="275"/>
      <c r="AK97" s="33"/>
    </row>
    <row r="98" spans="2:37" ht="58.5" customHeight="1" x14ac:dyDescent="0.25">
      <c r="B98" s="60" t="str">
        <f>'1 lentelė'!$B97</f>
        <v>2.2.1.2</v>
      </c>
      <c r="C98" s="60"/>
      <c r="D98" s="91" t="str">
        <f>'1 lentelė'!$D97</f>
        <v>Priemonė: Paviršinių nuotekų sistemų tvarkymas</v>
      </c>
      <c r="E98" s="60"/>
      <c r="F98" s="166"/>
      <c r="G98" s="60"/>
      <c r="H98" s="60"/>
      <c r="I98" s="60"/>
      <c r="J98" s="60"/>
      <c r="K98" s="166"/>
      <c r="L98" s="60"/>
      <c r="M98" s="60"/>
      <c r="N98" s="60"/>
      <c r="O98" s="60"/>
      <c r="P98" s="166"/>
      <c r="Q98" s="60"/>
      <c r="R98" s="60"/>
      <c r="S98" s="60"/>
      <c r="T98" s="60"/>
      <c r="U98" s="166"/>
      <c r="V98" s="60"/>
      <c r="W98" s="60"/>
      <c r="X98" s="60"/>
      <c r="Y98" s="60"/>
      <c r="Z98" s="166"/>
      <c r="AA98" s="60"/>
      <c r="AB98" s="60"/>
      <c r="AC98" s="60"/>
      <c r="AD98" s="60"/>
      <c r="AE98" s="166"/>
      <c r="AF98" s="60"/>
      <c r="AG98" s="60"/>
      <c r="AH98" s="60"/>
      <c r="AI98" s="60"/>
      <c r="AJ98" s="166"/>
      <c r="AK98" s="33"/>
    </row>
    <row r="99" spans="2:37" ht="154.5" customHeight="1" x14ac:dyDescent="0.25">
      <c r="B99" s="35" t="str">
        <f>'1 lentelė'!$B98</f>
        <v>2.2.1.2.1</v>
      </c>
      <c r="C99" s="35" t="str">
        <f>'1 lentelė'!$C98</f>
        <v>R090007-080000-2207</v>
      </c>
      <c r="D99" s="35" t="str">
        <f>'1 lentelė'!$D98</f>
        <v>Paviršinių nuotekų tinklų ir jiems priklausančios infrastruktūros rekonstrukcija ir plėtra Utenos mieste</v>
      </c>
      <c r="E99" s="35" t="s">
        <v>66</v>
      </c>
      <c r="F99" s="169" t="s">
        <v>965</v>
      </c>
      <c r="G99" s="133" t="str">
        <f>'2 lentelė'!E98</f>
        <v>P.S.328</v>
      </c>
      <c r="H99" s="133" t="str">
        <f>'2 lentelė'!F98</f>
        <v>Lietaus nuotėkio plotas, iš kurio surenkamam paviršiniam (lietaus) vandeniui tvarkyti įrengta ir (ar) rekonstruota infrastruktūra, ha</v>
      </c>
      <c r="I99" s="133">
        <f>'2 lentelė'!G98</f>
        <v>52.58</v>
      </c>
      <c r="J99" s="133">
        <v>52.58</v>
      </c>
      <c r="K99" s="133">
        <v>53.46</v>
      </c>
      <c r="L99" s="133" t="str">
        <f>'2 lentelė'!H98</f>
        <v>P.N.028</v>
      </c>
      <c r="M99" s="133" t="str">
        <f>'2 lentelė'!I98</f>
        <v>Inventorizuota neapskaityto paviršinių nuotekų nuotakyno dalis, proc.</v>
      </c>
      <c r="N99" s="133">
        <f>'2 lentelė'!J98</f>
        <v>20.25</v>
      </c>
      <c r="O99" s="133">
        <v>20.25</v>
      </c>
      <c r="P99" s="162">
        <v>0</v>
      </c>
      <c r="Q99" s="135"/>
      <c r="R99" s="29"/>
      <c r="S99" s="29"/>
      <c r="T99" s="58"/>
      <c r="U99" s="162"/>
      <c r="V99" s="137"/>
      <c r="W99" s="37"/>
      <c r="X99" s="29"/>
      <c r="Y99" s="32"/>
      <c r="Z99" s="134"/>
      <c r="AA99" s="138"/>
      <c r="AB99" s="54"/>
      <c r="AC99" s="54"/>
      <c r="AD99" s="76"/>
      <c r="AE99" s="165"/>
      <c r="AF99" s="138"/>
      <c r="AG99" s="54"/>
      <c r="AH99" s="54"/>
      <c r="AI99" s="76"/>
      <c r="AJ99" s="165"/>
      <c r="AK99" s="33"/>
    </row>
    <row r="100" spans="2:37" ht="156" customHeight="1" x14ac:dyDescent="0.25">
      <c r="B100" s="35" t="str">
        <f>'1 lentelė'!$B99</f>
        <v>2.2.1.2.2</v>
      </c>
      <c r="C100" s="35" t="str">
        <f>'1 lentelė'!$C99</f>
        <v>R090007-080000-2208</v>
      </c>
      <c r="D100" s="35" t="str">
        <f>'1 lentelė'!$D99</f>
        <v>Inžinerinių paviršinių nuotekų surinkimo ir šalinimo tinklų rekonstravimas Visagino g. atkarpoje nuo Parko iki Vilties g.</v>
      </c>
      <c r="E100" s="35" t="s">
        <v>65</v>
      </c>
      <c r="F100" s="169" t="s">
        <v>966</v>
      </c>
      <c r="G100" s="133" t="str">
        <f>'2 lentelė'!E99</f>
        <v>P.S.328</v>
      </c>
      <c r="H100" s="133" t="str">
        <f>'2 lentelė'!F99</f>
        <v>Lietaus nuotėkio plotas, iš kurio surenkamam paviršiniam (lietaus) vandeniui tvarkyti, įrengta ir (ar) rekonstruota infrastruktūra, ha</v>
      </c>
      <c r="I100" s="133">
        <f>'2 lentelė'!G99</f>
        <v>71.92</v>
      </c>
      <c r="J100" s="133">
        <v>71.92</v>
      </c>
      <c r="K100" s="133">
        <v>78.56</v>
      </c>
      <c r="L100" s="133"/>
      <c r="M100" s="32"/>
      <c r="N100" s="32"/>
      <c r="O100" s="58"/>
      <c r="P100" s="162"/>
      <c r="Q100" s="135"/>
      <c r="R100" s="29"/>
      <c r="S100" s="29"/>
      <c r="T100" s="58"/>
      <c r="U100" s="162"/>
      <c r="V100" s="137"/>
      <c r="W100" s="37"/>
      <c r="X100" s="29"/>
      <c r="Y100" s="32"/>
      <c r="Z100" s="134"/>
      <c r="AA100" s="138"/>
      <c r="AB100" s="54"/>
      <c r="AC100" s="54"/>
      <c r="AD100" s="76"/>
      <c r="AE100" s="165"/>
      <c r="AF100" s="138"/>
      <c r="AG100" s="54"/>
      <c r="AH100" s="54"/>
      <c r="AI100" s="76"/>
      <c r="AJ100" s="165"/>
      <c r="AK100" s="33"/>
    </row>
    <row r="101" spans="2:37" ht="80.25" customHeight="1" x14ac:dyDescent="0.25">
      <c r="B101" s="27" t="str">
        <f>'1 lentelė'!$B100</f>
        <v>2.2.1.3</v>
      </c>
      <c r="C101" s="27"/>
      <c r="D101" s="89" t="str">
        <f>'1 lentelė'!$D100</f>
        <v>Priemonė: Komunalinių atliekų tvarkymo infrastruktūros plėtra</v>
      </c>
      <c r="E101" s="27"/>
      <c r="F101" s="131"/>
      <c r="G101" s="27"/>
      <c r="H101" s="27"/>
      <c r="I101" s="27"/>
      <c r="J101" s="27"/>
      <c r="K101" s="131"/>
      <c r="L101" s="27"/>
      <c r="M101" s="27"/>
      <c r="N101" s="27"/>
      <c r="O101" s="27"/>
      <c r="P101" s="131"/>
      <c r="Q101" s="27"/>
      <c r="R101" s="27"/>
      <c r="S101" s="27"/>
      <c r="T101" s="27"/>
      <c r="U101" s="131"/>
      <c r="V101" s="27"/>
      <c r="W101" s="27"/>
      <c r="X101" s="27"/>
      <c r="Y101" s="27"/>
      <c r="Z101" s="131"/>
      <c r="AA101" s="27"/>
      <c r="AB101" s="27"/>
      <c r="AC101" s="27"/>
      <c r="AD101" s="27"/>
      <c r="AE101" s="131"/>
      <c r="AF101" s="27"/>
      <c r="AG101" s="27"/>
      <c r="AH101" s="27"/>
      <c r="AI101" s="27"/>
      <c r="AJ101" s="131"/>
      <c r="AK101" s="33"/>
    </row>
    <row r="102" spans="2:37" ht="103.5" customHeight="1" x14ac:dyDescent="0.25">
      <c r="B102" s="35" t="str">
        <f>'1 lentelė'!$B101</f>
        <v>2.2.1.3.1</v>
      </c>
      <c r="C102" s="35" t="str">
        <f>'1 lentelė'!$C101</f>
        <v>R090008-050000-2209</v>
      </c>
      <c r="D102" s="35" t="str">
        <f>'1 lentelė'!$D101</f>
        <v>Komunalinių atliekų tvarkymo infrastruktūros plėtra Visagino savivaldybėje</v>
      </c>
      <c r="E102" s="35" t="s">
        <v>66</v>
      </c>
      <c r="F102" s="169" t="s">
        <v>967</v>
      </c>
      <c r="G102" s="347" t="str">
        <f>'2 lentelė'!E101</f>
        <v>P.S.329</v>
      </c>
      <c r="H102" s="32" t="str">
        <f>'2 lentelė'!F101</f>
        <v>Sukurti /pagerinti atskiro komunalinių atliekų surinkimo pajėgumai (tonos/metai)</v>
      </c>
      <c r="I102" s="176">
        <f>'2 lentelė'!G101</f>
        <v>1105.32</v>
      </c>
      <c r="J102" s="32">
        <v>1185.6500000000001</v>
      </c>
      <c r="K102" s="134">
        <v>0</v>
      </c>
      <c r="L102" s="133"/>
      <c r="M102" s="32"/>
      <c r="N102" s="32"/>
      <c r="O102" s="58"/>
      <c r="P102" s="162"/>
      <c r="Q102" s="135"/>
      <c r="R102" s="29"/>
      <c r="S102" s="29"/>
      <c r="T102" s="58"/>
      <c r="U102" s="162"/>
      <c r="V102" s="137"/>
      <c r="W102" s="37"/>
      <c r="X102" s="29"/>
      <c r="Y102" s="32"/>
      <c r="Z102" s="134"/>
      <c r="AA102" s="138"/>
      <c r="AB102" s="54"/>
      <c r="AC102" s="54"/>
      <c r="AD102" s="76"/>
      <c r="AE102" s="165"/>
      <c r="AF102" s="138"/>
      <c r="AG102" s="54"/>
      <c r="AH102" s="54"/>
      <c r="AI102" s="76"/>
      <c r="AJ102" s="165"/>
      <c r="AK102" s="33"/>
    </row>
    <row r="103" spans="2:37" ht="144.75" customHeight="1" x14ac:dyDescent="0.25">
      <c r="B103" s="35" t="str">
        <f>'1 lentelė'!$B102</f>
        <v>2.2.1.3.2</v>
      </c>
      <c r="C103" s="35" t="str">
        <f>'1 lentelė'!$C102</f>
        <v>R090008-050000-2210</v>
      </c>
      <c r="D103" s="35" t="str">
        <f>'1 lentelė'!$D102</f>
        <v>Konteinerinių aikštelių įrengimas ( rekonstrukcija) Ignalinos r. savivaldybėje ir atliekų surinkimo konteinerių konteinerinėms aikštelėms įsigijimas</v>
      </c>
      <c r="E103" s="35" t="s">
        <v>66</v>
      </c>
      <c r="F103" s="169" t="s">
        <v>968</v>
      </c>
      <c r="G103" s="347" t="str">
        <f>'2 lentelė'!E102</f>
        <v>P.S.329</v>
      </c>
      <c r="H103" s="32" t="str">
        <f>'2 lentelė'!F102</f>
        <v>Sukurti/ pagerinti atskiro komunalinių atliekų surinkimo pajėgumai (tonos/metai)</v>
      </c>
      <c r="I103" s="176">
        <f>'2 lentelė'!G102</f>
        <v>729</v>
      </c>
      <c r="J103" s="32">
        <v>729</v>
      </c>
      <c r="K103" s="134">
        <v>0</v>
      </c>
      <c r="L103" s="133"/>
      <c r="M103" s="32"/>
      <c r="N103" s="32"/>
      <c r="O103" s="58"/>
      <c r="P103" s="162"/>
      <c r="Q103" s="135"/>
      <c r="R103" s="29"/>
      <c r="S103" s="29"/>
      <c r="T103" s="58"/>
      <c r="U103" s="162"/>
      <c r="V103" s="137"/>
      <c r="W103" s="37"/>
      <c r="X103" s="29"/>
      <c r="Y103" s="32"/>
      <c r="Z103" s="134"/>
      <c r="AA103" s="138"/>
      <c r="AB103" s="54"/>
      <c r="AC103" s="54"/>
      <c r="AD103" s="76"/>
      <c r="AE103" s="165"/>
      <c r="AF103" s="138"/>
      <c r="AG103" s="54"/>
      <c r="AH103" s="54"/>
      <c r="AI103" s="76"/>
      <c r="AJ103" s="165"/>
      <c r="AK103" s="33"/>
    </row>
    <row r="104" spans="2:37" ht="90" customHeight="1" x14ac:dyDescent="0.25">
      <c r="B104" s="35" t="str">
        <f>'1 lentelė'!$B103</f>
        <v>2.2.1.3.3</v>
      </c>
      <c r="C104" s="35" t="str">
        <f>'1 lentelė'!$C103</f>
        <v>R090008-050000-2211</v>
      </c>
      <c r="D104" s="35" t="str">
        <f>'1 lentelė'!$D103</f>
        <v>Komunalinių atliekų tvarkymo infrastruktūros plėtra Anykščių rajono savivaldybėje</v>
      </c>
      <c r="E104" s="35" t="s">
        <v>66</v>
      </c>
      <c r="F104" s="169" t="s">
        <v>969</v>
      </c>
      <c r="G104" s="347" t="str">
        <f>'2 lentelė'!E103</f>
        <v>P.S.329</v>
      </c>
      <c r="H104" s="32" t="str">
        <f>'2 lentelė'!F103</f>
        <v>Sukurti /pagerinti atskiro komunalinių atliekų surinkimo pajėgumai</v>
      </c>
      <c r="I104" s="176">
        <f>'2 lentelė'!G103</f>
        <v>2553.5</v>
      </c>
      <c r="J104" s="32">
        <v>2553.5</v>
      </c>
      <c r="K104" s="134">
        <v>2553.5</v>
      </c>
      <c r="L104" s="133"/>
      <c r="M104" s="32"/>
      <c r="N104" s="32"/>
      <c r="O104" s="58"/>
      <c r="P104" s="162"/>
      <c r="Q104" s="135"/>
      <c r="R104" s="29"/>
      <c r="S104" s="29"/>
      <c r="T104" s="58"/>
      <c r="U104" s="162"/>
      <c r="V104" s="137"/>
      <c r="W104" s="37"/>
      <c r="X104" s="29"/>
      <c r="Y104" s="32"/>
      <c r="Z104" s="134"/>
      <c r="AA104" s="138"/>
      <c r="AB104" s="54"/>
      <c r="AC104" s="54"/>
      <c r="AD104" s="76"/>
      <c r="AE104" s="165"/>
      <c r="AF104" s="138"/>
      <c r="AG104" s="54"/>
      <c r="AH104" s="54"/>
      <c r="AI104" s="76"/>
      <c r="AJ104" s="165"/>
      <c r="AK104" s="33"/>
    </row>
    <row r="105" spans="2:37" ht="89.25" x14ac:dyDescent="0.25">
      <c r="B105" s="35" t="str">
        <f>'1 lentelė'!$B104</f>
        <v>2.2.1.3.4</v>
      </c>
      <c r="C105" s="35" t="str">
        <f>'1 lentelė'!$C104</f>
        <v>R090008-050000-2212</v>
      </c>
      <c r="D105" s="35" t="str">
        <f>'1 lentelė'!$D104</f>
        <v>Molėtų rajono komunalinių atliekų tvarkymo infrastruktūros plėtra</v>
      </c>
      <c r="E105" s="35" t="s">
        <v>66</v>
      </c>
      <c r="F105" s="169" t="s">
        <v>970</v>
      </c>
      <c r="G105" s="347" t="str">
        <f>'2 lentelė'!E104</f>
        <v>P.S.329</v>
      </c>
      <c r="H105" s="32" t="str">
        <f>'2 lentelė'!F104</f>
        <v>Sukurti /pagerinti atskiro komunalinių atliekų surinkimo pajėgumai</v>
      </c>
      <c r="I105" s="176">
        <f>'2 lentelė'!G104</f>
        <v>2248.75</v>
      </c>
      <c r="J105" s="58">
        <v>984</v>
      </c>
      <c r="K105" s="288">
        <v>2248.75</v>
      </c>
      <c r="L105" s="133"/>
      <c r="M105" s="32"/>
      <c r="N105" s="32"/>
      <c r="O105" s="58"/>
      <c r="P105" s="162"/>
      <c r="Q105" s="135"/>
      <c r="R105" s="29"/>
      <c r="S105" s="29"/>
      <c r="T105" s="58"/>
      <c r="U105" s="162"/>
      <c r="V105" s="137"/>
      <c r="W105" s="37"/>
      <c r="X105" s="29"/>
      <c r="Y105" s="32"/>
      <c r="Z105" s="134"/>
      <c r="AA105" s="138"/>
      <c r="AB105" s="54"/>
      <c r="AC105" s="54"/>
      <c r="AD105" s="76"/>
      <c r="AE105" s="165"/>
      <c r="AF105" s="138"/>
      <c r="AG105" s="54"/>
      <c r="AH105" s="54"/>
      <c r="AI105" s="76"/>
      <c r="AJ105" s="165"/>
      <c r="AK105" s="33"/>
    </row>
    <row r="106" spans="2:37" ht="102" x14ac:dyDescent="0.25">
      <c r="B106" s="35" t="str">
        <f>'1 lentelė'!$B105</f>
        <v>2.2.1.3.5</v>
      </c>
      <c r="C106" s="35" t="str">
        <f>'1 lentelė'!$C105</f>
        <v>R090008-050000-2213</v>
      </c>
      <c r="D106" s="35" t="str">
        <f>'1 lentelė'!$D105</f>
        <v>Komunalinių atliekų tvarkymo infrastruktūros plėtra Zarasų rajone</v>
      </c>
      <c r="E106" s="35" t="s">
        <v>66</v>
      </c>
      <c r="F106" s="169" t="s">
        <v>971</v>
      </c>
      <c r="G106" s="347" t="str">
        <f>'2 lentelė'!E105</f>
        <v>P.S.329</v>
      </c>
      <c r="H106" s="32" t="str">
        <f>'2 lentelė'!F105</f>
        <v>Sukurti /pagerinti atskiro komunalinių atliekų surinkimo pajėgumai (tonos/metai)</v>
      </c>
      <c r="I106" s="176">
        <f>'2 lentelė'!G105</f>
        <v>1213.93</v>
      </c>
      <c r="J106" s="32">
        <v>1213.93</v>
      </c>
      <c r="K106" s="134">
        <v>48.65</v>
      </c>
      <c r="L106" s="133"/>
      <c r="M106" s="32"/>
      <c r="N106" s="32"/>
      <c r="O106" s="58"/>
      <c r="P106" s="162"/>
      <c r="Q106" s="135"/>
      <c r="R106" s="29"/>
      <c r="S106" s="29"/>
      <c r="T106" s="58"/>
      <c r="U106" s="162"/>
      <c r="V106" s="137"/>
      <c r="W106" s="37"/>
      <c r="X106" s="29"/>
      <c r="Y106" s="32"/>
      <c r="Z106" s="134"/>
      <c r="AA106" s="138"/>
      <c r="AB106" s="54"/>
      <c r="AC106" s="54"/>
      <c r="AD106" s="76"/>
      <c r="AE106" s="165"/>
      <c r="AF106" s="138"/>
      <c r="AG106" s="54"/>
      <c r="AH106" s="54"/>
      <c r="AI106" s="76"/>
      <c r="AJ106" s="165"/>
      <c r="AK106" s="33"/>
    </row>
    <row r="107" spans="2:37" ht="89.25" x14ac:dyDescent="0.25">
      <c r="B107" s="35" t="str">
        <f>'1 lentelė'!$B106</f>
        <v>2.2.1.3.6</v>
      </c>
      <c r="C107" s="35" t="str">
        <f>'1 lentelė'!$C106</f>
        <v>R090008-050000-2214</v>
      </c>
      <c r="D107" s="35" t="str">
        <f>'1 lentelė'!$D106</f>
        <v>Komunalinių atliekų tvarkymo infrastruktūros plėtra Utenos rajone</v>
      </c>
      <c r="E107" s="35" t="s">
        <v>66</v>
      </c>
      <c r="F107" s="169" t="s">
        <v>972</v>
      </c>
      <c r="G107" s="347" t="str">
        <f>'2 lentelė'!E106</f>
        <v>P.S.329</v>
      </c>
      <c r="H107" s="32" t="str">
        <f>'2 lentelė'!F106</f>
        <v>Sukurti/pagerinti atskiro komunalinių atliekų surinkimo pajėgumai (tonos/ metai)</v>
      </c>
      <c r="I107" s="176">
        <f>'2 lentelė'!G106</f>
        <v>1123</v>
      </c>
      <c r="J107" s="58">
        <v>1123</v>
      </c>
      <c r="K107" s="162">
        <v>0</v>
      </c>
      <c r="L107" s="133"/>
      <c r="M107" s="32"/>
      <c r="N107" s="32"/>
      <c r="O107" s="58"/>
      <c r="P107" s="162"/>
      <c r="Q107" s="135"/>
      <c r="R107" s="29"/>
      <c r="S107" s="29"/>
      <c r="T107" s="58"/>
      <c r="U107" s="162"/>
      <c r="V107" s="137"/>
      <c r="W107" s="37"/>
      <c r="X107" s="29"/>
      <c r="Y107" s="32"/>
      <c r="Z107" s="134"/>
      <c r="AA107" s="138"/>
      <c r="AB107" s="54"/>
      <c r="AC107" s="54"/>
      <c r="AD107" s="76"/>
      <c r="AE107" s="165"/>
      <c r="AF107" s="138"/>
      <c r="AG107" s="54"/>
      <c r="AH107" s="54"/>
      <c r="AI107" s="76"/>
      <c r="AJ107" s="165"/>
      <c r="AK107" s="33"/>
    </row>
    <row r="108" spans="2:37" ht="40.5" x14ac:dyDescent="0.25">
      <c r="B108" s="60" t="str">
        <f>'1 lentelė'!$B108</f>
        <v>2.2.2.1</v>
      </c>
      <c r="C108" s="60"/>
      <c r="D108" s="91" t="str">
        <f>'1 lentelė'!$D108</f>
        <v>Priemonė: Kraštovaizdžio apsauga</v>
      </c>
      <c r="E108" s="60"/>
      <c r="F108" s="166"/>
      <c r="G108" s="60"/>
      <c r="H108" s="60"/>
      <c r="I108" s="60"/>
      <c r="J108" s="60"/>
      <c r="K108" s="166"/>
      <c r="L108" s="60"/>
      <c r="M108" s="60"/>
      <c r="N108" s="60"/>
      <c r="O108" s="60"/>
      <c r="P108" s="166"/>
      <c r="Q108" s="60"/>
      <c r="R108" s="60"/>
      <c r="S108" s="60"/>
      <c r="T108" s="60"/>
      <c r="U108" s="166"/>
      <c r="V108" s="60"/>
      <c r="W108" s="60"/>
      <c r="X108" s="60"/>
      <c r="Y108" s="60"/>
      <c r="Z108" s="166"/>
      <c r="AA108" s="60"/>
      <c r="AB108" s="60"/>
      <c r="AC108" s="60"/>
      <c r="AD108" s="60"/>
      <c r="AE108" s="166"/>
      <c r="AF108" s="60"/>
      <c r="AG108" s="60"/>
      <c r="AH108" s="60"/>
      <c r="AI108" s="60"/>
      <c r="AJ108" s="166"/>
      <c r="AK108" s="33"/>
    </row>
    <row r="109" spans="2:37" ht="156" customHeight="1" x14ac:dyDescent="0.25">
      <c r="B109" s="35" t="str">
        <f>'1 lentelė'!$B109</f>
        <v>2.2.2.1.1</v>
      </c>
      <c r="C109" s="35" t="str">
        <f>'1 lentelė'!$C109</f>
        <v>R090019-380000-2215</v>
      </c>
      <c r="D109" s="35" t="str">
        <f>'1 lentelė'!$D109</f>
        <v>Zarasų rajono savivaldybės bendrųjų planų koregavimas</v>
      </c>
      <c r="E109" s="35" t="s">
        <v>66</v>
      </c>
      <c r="F109" s="169" t="s">
        <v>973</v>
      </c>
      <c r="G109" s="347" t="str">
        <f>'2 lentelė'!E109</f>
        <v>P.N.092</v>
      </c>
      <c r="H109" s="32" t="str">
        <f>'2 lentelė'!F109</f>
        <v xml:space="preserve">Kraštovaizdžio ir (ar) gamtinio karkaso formavimo aspektais pakeisti ar pakoreguoti savivaldybių ar jų dalių bendrieji planai </v>
      </c>
      <c r="I109" s="176">
        <f>'2 lentelė'!G109</f>
        <v>2</v>
      </c>
      <c r="J109" s="58">
        <v>2</v>
      </c>
      <c r="K109" s="162">
        <v>0</v>
      </c>
      <c r="L109" s="133"/>
      <c r="M109" s="32"/>
      <c r="N109" s="32"/>
      <c r="O109" s="58"/>
      <c r="P109" s="162"/>
      <c r="Q109" s="135"/>
      <c r="R109" s="29"/>
      <c r="S109" s="29"/>
      <c r="T109" s="58"/>
      <c r="U109" s="162"/>
      <c r="V109" s="137"/>
      <c r="W109" s="37"/>
      <c r="X109" s="29"/>
      <c r="Y109" s="32"/>
      <c r="Z109" s="134"/>
      <c r="AA109" s="138"/>
      <c r="AB109" s="54"/>
      <c r="AC109" s="54"/>
      <c r="AD109" s="76"/>
      <c r="AE109" s="165"/>
      <c r="AF109" s="138"/>
      <c r="AG109" s="54"/>
      <c r="AH109" s="54"/>
      <c r="AI109" s="76"/>
      <c r="AJ109" s="165"/>
      <c r="AK109" s="33"/>
    </row>
    <row r="110" spans="2:37" ht="103.5" customHeight="1" x14ac:dyDescent="0.25">
      <c r="B110" s="35" t="str">
        <f>'1 lentelė'!$B110</f>
        <v>2.2.2.1.2</v>
      </c>
      <c r="C110" s="35" t="str">
        <f>'1 lentelė'!$C110</f>
        <v>R090019-380000-2216</v>
      </c>
      <c r="D110" s="35" t="str">
        <f>'1 lentelė'!$D110</f>
        <v>Bešeimininkių apleistų, kraštovaizdį darkančių statinių likvidavimas Molėtų rajono savivaldybėje</v>
      </c>
      <c r="E110" s="35" t="s">
        <v>66</v>
      </c>
      <c r="F110" s="169" t="s">
        <v>974</v>
      </c>
      <c r="G110" s="347" t="str">
        <f>'2 lentelė'!E110</f>
        <v>P.N.093</v>
      </c>
      <c r="H110" s="32" t="str">
        <f>'2 lentelė'!F110</f>
        <v>Likviduoti kraštovaizdį darkantys bešeimininkiai apleisti statiniai ir įrenginiai</v>
      </c>
      <c r="I110" s="176">
        <f>'2 lentelė'!G110</f>
        <v>36</v>
      </c>
      <c r="J110" s="32">
        <v>36</v>
      </c>
      <c r="K110" s="134">
        <v>36</v>
      </c>
      <c r="L110" s="347" t="str">
        <f>'2 lentelė'!H110</f>
        <v>R.N.091</v>
      </c>
      <c r="M110" s="32" t="str">
        <f>'2 lentelė'!I110</f>
        <v>Teritorijų, kuriose įgyvendintos kraštovaizdžio formavimo priemonės, plotas, ha</v>
      </c>
      <c r="N110" s="176">
        <f>'2 lentelė'!J110</f>
        <v>2.98</v>
      </c>
      <c r="O110" s="32">
        <v>2.98</v>
      </c>
      <c r="P110" s="134">
        <v>2.98</v>
      </c>
      <c r="Q110" s="135"/>
      <c r="R110" s="29"/>
      <c r="S110" s="29"/>
      <c r="T110" s="58"/>
      <c r="U110" s="162"/>
      <c r="V110" s="137"/>
      <c r="W110" s="37"/>
      <c r="X110" s="29"/>
      <c r="Y110" s="32"/>
      <c r="Z110" s="134"/>
      <c r="AA110" s="138"/>
      <c r="AB110" s="54"/>
      <c r="AC110" s="54"/>
      <c r="AD110" s="76"/>
      <c r="AE110" s="165"/>
      <c r="AF110" s="138"/>
      <c r="AG110" s="54"/>
      <c r="AH110" s="54"/>
      <c r="AI110" s="76"/>
      <c r="AJ110" s="165"/>
      <c r="AK110" s="33"/>
    </row>
    <row r="111" spans="2:37" ht="113.25" customHeight="1" x14ac:dyDescent="0.25">
      <c r="B111" s="35" t="str">
        <f>'1 lentelė'!$B111</f>
        <v>2.2.2.1.3</v>
      </c>
      <c r="C111" s="35" t="str">
        <f>'1 lentelė'!$C111</f>
        <v>R090019-380000-2217</v>
      </c>
      <c r="D111" s="35" t="str">
        <f>'1 lentelė'!$D111</f>
        <v>Kraštovaizdžio formavimas ir ekologinės būklės gerinimas Zarasų rajone</v>
      </c>
      <c r="E111" s="35" t="s">
        <v>66</v>
      </c>
      <c r="F111" s="169" t="s">
        <v>975</v>
      </c>
      <c r="G111" s="347" t="str">
        <f>'2 lentelė'!E111</f>
        <v>P.S.338</v>
      </c>
      <c r="H111" s="32" t="str">
        <f>'2 lentelė'!F111</f>
        <v>Išsaugotų, sutvarkytų ar atkurtų įvairaus teritorinio lygmens kraštovaizdžio arealų, skaičius</v>
      </c>
      <c r="I111" s="176">
        <f>'2 lentelė'!G111</f>
        <v>3</v>
      </c>
      <c r="J111" s="58">
        <v>3</v>
      </c>
      <c r="K111" s="162">
        <v>0</v>
      </c>
      <c r="L111" s="347" t="str">
        <f>'2 lentelė'!H111</f>
        <v>R.N.091</v>
      </c>
      <c r="M111" s="32" t="str">
        <f>'2 lentelė'!I111</f>
        <v>Teritorijų, kuriose įgyvendintos kraštovaizdžio formavimo priemonės, plotas, ha</v>
      </c>
      <c r="N111" s="176">
        <f>'2 lentelė'!J111</f>
        <v>28.9</v>
      </c>
      <c r="O111" s="58">
        <v>28.9</v>
      </c>
      <c r="P111" s="162">
        <v>0</v>
      </c>
      <c r="Q111" s="135"/>
      <c r="R111" s="35"/>
      <c r="S111" s="29"/>
      <c r="T111" s="58"/>
      <c r="U111" s="162"/>
      <c r="V111" s="137"/>
      <c r="W111" s="37"/>
      <c r="X111" s="29"/>
      <c r="Y111" s="32"/>
      <c r="Z111" s="134"/>
      <c r="AA111" s="138"/>
      <c r="AB111" s="54"/>
      <c r="AC111" s="54"/>
      <c r="AD111" s="76"/>
      <c r="AE111" s="165"/>
      <c r="AF111" s="138"/>
      <c r="AG111" s="54"/>
      <c r="AH111" s="54"/>
      <c r="AI111" s="76"/>
      <c r="AJ111" s="165"/>
      <c r="AK111" s="33"/>
    </row>
    <row r="112" spans="2:37" ht="102" x14ac:dyDescent="0.25">
      <c r="B112" s="35" t="str">
        <f>'1 lentelė'!$B112</f>
        <v>2.2.2.1.4</v>
      </c>
      <c r="C112" s="35" t="str">
        <f>'1 lentelė'!$C112</f>
        <v>R090019-380000-2218</v>
      </c>
      <c r="D112" s="35" t="str">
        <f>'1 lentelė'!$D112</f>
        <v>Želdynų teritorijos formavimas ir kraštovaizdžio būklės gerinimas Utenos mieste</v>
      </c>
      <c r="E112" s="35" t="s">
        <v>66</v>
      </c>
      <c r="F112" s="169" t="s">
        <v>976</v>
      </c>
      <c r="G112" s="347" t="str">
        <f>'2 lentelė'!E112</f>
        <v>P.S.338</v>
      </c>
      <c r="H112" s="32" t="str">
        <f>'2 lentelė'!F112</f>
        <v>Išsaugoti, sutvarkyti ar atkurti įvairaus teritorinio lygmens kraštovaizdžio arealai</v>
      </c>
      <c r="I112" s="176">
        <f>'2 lentelė'!G112</f>
        <v>1</v>
      </c>
      <c r="J112" s="58">
        <v>1</v>
      </c>
      <c r="K112" s="162">
        <v>0</v>
      </c>
      <c r="L112" s="347" t="str">
        <f>'2 lentelė'!H112</f>
        <v>R.N.091</v>
      </c>
      <c r="M112" s="32" t="str">
        <f>'2 lentelė'!I112</f>
        <v>Teritorijų, kuriose įgyvendintos kraštovaizdžio formavimo priemonės, plotas, ha</v>
      </c>
      <c r="N112" s="176">
        <f>'2 lentelė'!J112</f>
        <v>8.6999999999999993</v>
      </c>
      <c r="O112" s="58">
        <v>8.6999999999999993</v>
      </c>
      <c r="P112" s="162">
        <v>0</v>
      </c>
      <c r="Q112" s="135"/>
      <c r="R112" s="29"/>
      <c r="S112" s="29"/>
      <c r="T112" s="58"/>
      <c r="U112" s="162"/>
      <c r="V112" s="137"/>
      <c r="W112" s="37"/>
      <c r="X112" s="29"/>
      <c r="Y112" s="32"/>
      <c r="Z112" s="134"/>
      <c r="AA112" s="138"/>
      <c r="AB112" s="54"/>
      <c r="AC112" s="54"/>
      <c r="AD112" s="76"/>
      <c r="AE112" s="165"/>
      <c r="AF112" s="138"/>
      <c r="AG112" s="54"/>
      <c r="AH112" s="54"/>
      <c r="AI112" s="76"/>
      <c r="AJ112" s="165"/>
      <c r="AK112" s="33"/>
    </row>
    <row r="113" spans="2:37" ht="144" customHeight="1" x14ac:dyDescent="0.25">
      <c r="B113" s="35" t="str">
        <f>'1 lentelė'!$B113</f>
        <v>2.2.2.1.5</v>
      </c>
      <c r="C113" s="35" t="str">
        <f>'1 lentelė'!$C113</f>
        <v>R090019-380000-2219</v>
      </c>
      <c r="D113" s="35" t="str">
        <f>'1 lentelė'!$D113</f>
        <v>,,Anykščių rajono kraštovaizdžio estetinio potencialo didinimas likviduojant bešeimininkius  kraštovaizdį darkančius statinius“</v>
      </c>
      <c r="E113" s="35" t="s">
        <v>66</v>
      </c>
      <c r="F113" s="169" t="s">
        <v>977</v>
      </c>
      <c r="G113" s="347" t="str">
        <f>'2 lentelė'!E113</f>
        <v>P.N.093</v>
      </c>
      <c r="H113" s="32" t="str">
        <f>'2 lentelė'!F113</f>
        <v>Likviduoti kraštovaizdį darkantys bešeimininkiai apleisti statiniai ir įrenginiai, vnt.</v>
      </c>
      <c r="I113" s="176">
        <f>'2 lentelė'!G113</f>
        <v>68</v>
      </c>
      <c r="J113" s="32">
        <v>68</v>
      </c>
      <c r="K113" s="32">
        <v>68</v>
      </c>
      <c r="L113" s="347" t="str">
        <f>'2 lentelė'!H113</f>
        <v>R.N.091</v>
      </c>
      <c r="M113" s="32" t="str">
        <f>'2 lentelė'!I113</f>
        <v>Teritorijų, kuriose įgyvendintos kraštovaizdžio formavimo priemonės, plotas, ha</v>
      </c>
      <c r="N113" s="176">
        <f>'2 lentelė'!J113</f>
        <v>18.32</v>
      </c>
      <c r="O113" s="32">
        <v>18.32</v>
      </c>
      <c r="P113" s="32">
        <v>18.32</v>
      </c>
      <c r="Q113" s="135"/>
      <c r="R113" s="29"/>
      <c r="S113" s="29"/>
      <c r="T113" s="58"/>
      <c r="U113" s="162"/>
      <c r="V113" s="137"/>
      <c r="W113" s="37"/>
      <c r="X113" s="29"/>
      <c r="Y113" s="32"/>
      <c r="Z113" s="134"/>
      <c r="AA113" s="138"/>
      <c r="AB113" s="54"/>
      <c r="AC113" s="54"/>
      <c r="AD113" s="76"/>
      <c r="AE113" s="165"/>
      <c r="AF113" s="138"/>
      <c r="AG113" s="54"/>
      <c r="AH113" s="54"/>
      <c r="AI113" s="76"/>
      <c r="AJ113" s="165"/>
      <c r="AK113" s="33"/>
    </row>
    <row r="114" spans="2:37" ht="100.5" customHeight="1" x14ac:dyDescent="0.25">
      <c r="B114" s="35" t="str">
        <f>'1 lentelė'!$B114</f>
        <v>2.2.2.1.6</v>
      </c>
      <c r="C114" s="35" t="str">
        <f>'1 lentelė'!$C114</f>
        <v>R090019-380000-2220</v>
      </c>
      <c r="D114" s="35" t="str">
        <f>'1 lentelė'!$D114</f>
        <v>Kraštovaizdžio formavimas ir ekologinės būklės gerinimas Anykščių rajono savivaldybėje</v>
      </c>
      <c r="E114" s="35" t="s">
        <v>66</v>
      </c>
      <c r="F114" s="132" t="s">
        <v>978</v>
      </c>
      <c r="G114" s="347" t="str">
        <f>'2 lentelė'!E114</f>
        <v>R.N.091</v>
      </c>
      <c r="H114" s="32" t="str">
        <f>'2 lentelė'!F114</f>
        <v>Teritorijų, kuriose įgyvendintos kraštovaizdžio formavimo priemonės, plotas, ha</v>
      </c>
      <c r="I114" s="176">
        <f>'2 lentelė'!G114</f>
        <v>3.04</v>
      </c>
      <c r="J114" s="53">
        <v>3.04</v>
      </c>
      <c r="K114" s="155">
        <v>3.04</v>
      </c>
      <c r="L114" s="347" t="str">
        <f>'2 lentelė'!H114</f>
        <v>P.N.093</v>
      </c>
      <c r="M114" s="32" t="str">
        <f>'2 lentelė'!I114</f>
        <v>Likviduoti kraštovaizdį darkantys bešeimininkiai apleisti statiniai ir įrenginiai</v>
      </c>
      <c r="N114" s="176">
        <f>'2 lentelė'!J114</f>
        <v>34</v>
      </c>
      <c r="O114" s="32">
        <v>34</v>
      </c>
      <c r="P114" s="134">
        <v>34</v>
      </c>
      <c r="Q114" s="135"/>
      <c r="R114" s="29"/>
      <c r="S114" s="29"/>
      <c r="T114" s="58"/>
      <c r="U114" s="162"/>
      <c r="V114" s="137"/>
      <c r="W114" s="37"/>
      <c r="X114" s="29"/>
      <c r="Y114" s="32"/>
      <c r="Z114" s="134"/>
      <c r="AA114" s="138"/>
      <c r="AB114" s="54"/>
      <c r="AC114" s="54"/>
      <c r="AD114" s="76"/>
      <c r="AE114" s="165"/>
      <c r="AF114" s="138"/>
      <c r="AG114" s="54"/>
      <c r="AH114" s="54"/>
      <c r="AI114" s="76"/>
      <c r="AJ114" s="165"/>
      <c r="AK114" s="33"/>
    </row>
    <row r="115" spans="2:37" ht="132.75" customHeight="1" x14ac:dyDescent="0.25">
      <c r="B115" s="35" t="str">
        <f>'1 lentelė'!$B115</f>
        <v>2.2.2.1.7</v>
      </c>
      <c r="C115" s="35" t="str">
        <f>'1 lentelė'!$C115</f>
        <v>R090019-380000-2221</v>
      </c>
      <c r="D115" s="35" t="str">
        <f>'1 lentelė'!$D115</f>
        <v>Visagino miesto kraštovaizdžio formavimas, ekologinės būklės gerinimas ir želdynų tvarkymas (kūrimas) gamtinio karkaso teritorijose</v>
      </c>
      <c r="E115" s="35" t="s">
        <v>66</v>
      </c>
      <c r="F115" s="169" t="s">
        <v>979</v>
      </c>
      <c r="G115" s="347" t="str">
        <f>'2 lentelė'!E115</f>
        <v>P.S.338</v>
      </c>
      <c r="H115" s="32" t="str">
        <f>'2 lentelė'!F115</f>
        <v>Išsaugoti, sutvarkyti ar atkurti įvairaus teritorinio lygmens kraštovaizdžio arealai</v>
      </c>
      <c r="I115" s="176">
        <f>'2 lentelė'!G115</f>
        <v>1</v>
      </c>
      <c r="J115" s="58">
        <v>1</v>
      </c>
      <c r="K115" s="162">
        <v>0</v>
      </c>
      <c r="L115" s="347" t="str">
        <f>'2 lentelė'!H115</f>
        <v>R.N.091</v>
      </c>
      <c r="M115" s="32" t="str">
        <f>'2 lentelė'!I115</f>
        <v>Teritorijų, kuriose įgyvendintos kraštovaizdžio formavimo priemonės, plotas, ha</v>
      </c>
      <c r="N115" s="176">
        <f>'2 lentelė'!J115</f>
        <v>20</v>
      </c>
      <c r="O115" s="58">
        <v>20</v>
      </c>
      <c r="P115" s="162">
        <v>0</v>
      </c>
      <c r="Q115" s="135"/>
      <c r="R115" s="29"/>
      <c r="S115" s="29"/>
      <c r="T115" s="58"/>
      <c r="U115" s="162"/>
      <c r="V115" s="137"/>
      <c r="W115" s="37"/>
      <c r="X115" s="29"/>
      <c r="Y115" s="32"/>
      <c r="Z115" s="134"/>
      <c r="AA115" s="138"/>
      <c r="AB115" s="54"/>
      <c r="AC115" s="54"/>
      <c r="AD115" s="76"/>
      <c r="AE115" s="165"/>
      <c r="AF115" s="138"/>
      <c r="AG115" s="54"/>
      <c r="AH115" s="54"/>
      <c r="AI115" s="76"/>
      <c r="AJ115" s="165"/>
      <c r="AK115" s="33"/>
    </row>
    <row r="116" spans="2:37" ht="145.5" customHeight="1" x14ac:dyDescent="0.25">
      <c r="B116" s="35" t="str">
        <f>'1 lentelė'!$B116</f>
        <v>2.2.2.1.8</v>
      </c>
      <c r="C116" s="35" t="str">
        <f>'1 lentelė'!$C116</f>
        <v>R090019-380000-2222</v>
      </c>
      <c r="D116" s="35" t="str">
        <f>'1 lentelė'!$D116</f>
        <v>Utenos rajono kraštovaizdžio estetinio potencialo didinimas likviduojant bešeimininkius apleistus, kraštovaizdį darkančius statinius</v>
      </c>
      <c r="E116" s="35" t="s">
        <v>66</v>
      </c>
      <c r="F116" s="169" t="s">
        <v>980</v>
      </c>
      <c r="G116" s="347" t="str">
        <f>'2 lentelė'!E116</f>
        <v>P.N.093</v>
      </c>
      <c r="H116" s="32" t="str">
        <f>'2 lentelė'!F116</f>
        <v>Likviduoti kraštovaizdį darkantys bešeimininkiai apleisti statiniai ir įrenginiai</v>
      </c>
      <c r="I116" s="176">
        <f>'2 lentelė'!G116</f>
        <v>6</v>
      </c>
      <c r="J116" s="32">
        <v>6</v>
      </c>
      <c r="K116" s="134">
        <v>2</v>
      </c>
      <c r="L116" s="347" t="str">
        <f>'2 lentelė'!H116</f>
        <v>R.N.091</v>
      </c>
      <c r="M116" s="32" t="str">
        <f>'2 lentelė'!I116</f>
        <v>Teritorijų, kuriose įgyvendintos kraštovaizdžio formavimo priemonės, plotas, ha</v>
      </c>
      <c r="N116" s="176">
        <f>'2 lentelė'!J116</f>
        <v>0.53</v>
      </c>
      <c r="O116" s="32">
        <v>0.53</v>
      </c>
      <c r="P116" s="134">
        <v>0.11</v>
      </c>
      <c r="Q116" s="135"/>
      <c r="R116" s="29"/>
      <c r="S116" s="29"/>
      <c r="T116" s="58"/>
      <c r="U116" s="162"/>
      <c r="V116" s="137"/>
      <c r="W116" s="37"/>
      <c r="X116" s="29"/>
      <c r="Y116" s="32"/>
      <c r="Z116" s="134"/>
      <c r="AA116" s="138"/>
      <c r="AB116" s="54"/>
      <c r="AC116" s="54"/>
      <c r="AD116" s="76"/>
      <c r="AE116" s="165"/>
      <c r="AF116" s="138"/>
      <c r="AG116" s="54"/>
      <c r="AH116" s="54"/>
      <c r="AI116" s="76"/>
      <c r="AJ116" s="165"/>
      <c r="AK116" s="33"/>
    </row>
    <row r="117" spans="2:37" ht="153" x14ac:dyDescent="0.25">
      <c r="B117" s="35" t="str">
        <f>'1 lentelė'!$B117</f>
        <v>2.2.2.1.9</v>
      </c>
      <c r="C117" s="35" t="str">
        <f>'1 lentelė'!$C117</f>
        <v>R090019-380000-2223</v>
      </c>
      <c r="D117" s="35" t="str">
        <f>'1 lentelė'!$D117</f>
        <v xml:space="preserve">Kraštovaizdžio planavimas, tvarkymas ir būklės gerinimas Molėtų rajone </v>
      </c>
      <c r="E117" s="35" t="s">
        <v>66</v>
      </c>
      <c r="F117" s="169" t="s">
        <v>981</v>
      </c>
      <c r="G117" s="347" t="str">
        <f>'2 lentelė'!E117</f>
        <v>P.N.093</v>
      </c>
      <c r="H117" s="32" t="str">
        <f>'2 lentelė'!F117</f>
        <v>Likviduoti kraštovaizdį darkantys bešeimininkiai apleisti statiniai ir įrenginiai</v>
      </c>
      <c r="I117" s="176">
        <f>'2 lentelė'!G117</f>
        <v>21</v>
      </c>
      <c r="J117" s="32">
        <v>34</v>
      </c>
      <c r="K117" s="134">
        <v>27</v>
      </c>
      <c r="L117" s="347" t="str">
        <f>'2 lentelė'!H117</f>
        <v>P.N.092</v>
      </c>
      <c r="M117" s="32" t="str">
        <f>'2 lentelė'!I117</f>
        <v xml:space="preserve">Kraštovaizdžio ir (ar) gamtinio karkaso formavimo aspektais pakeisti ar pakoreguoti savivaldybių ar jų dalių bendrieji planai </v>
      </c>
      <c r="N117" s="176">
        <f>'2 lentelė'!J117</f>
        <v>1</v>
      </c>
      <c r="O117" s="58">
        <v>1</v>
      </c>
      <c r="P117" s="162">
        <v>0</v>
      </c>
      <c r="Q117" s="348" t="str">
        <f>'2 lentelė'!K117</f>
        <v>R.N.091</v>
      </c>
      <c r="R117" s="29" t="str">
        <f>'2 lentelė'!L117</f>
        <v>Teritorijų, kuriose įgyvendintos kraštovaizdžio formavimo priemonės, plotas, ha</v>
      </c>
      <c r="S117" s="283">
        <f>'2 lentelė'!M117</f>
        <v>1.55</v>
      </c>
      <c r="T117" s="32">
        <v>2.94</v>
      </c>
      <c r="U117" s="134">
        <v>2.23</v>
      </c>
      <c r="V117" s="137"/>
      <c r="W117" s="37"/>
      <c r="X117" s="29"/>
      <c r="Y117" s="32"/>
      <c r="Z117" s="134"/>
      <c r="AA117" s="138"/>
      <c r="AB117" s="54"/>
      <c r="AC117" s="54"/>
      <c r="AD117" s="76"/>
      <c r="AE117" s="165"/>
      <c r="AF117" s="138"/>
      <c r="AG117" s="54"/>
      <c r="AH117" s="54"/>
      <c r="AI117" s="76"/>
      <c r="AJ117" s="165"/>
      <c r="AK117" s="33"/>
    </row>
    <row r="118" spans="2:37" ht="153" x14ac:dyDescent="0.25">
      <c r="B118" s="35" t="str">
        <f>'1 lentelė'!$B118</f>
        <v>2.2.2.1.10</v>
      </c>
      <c r="C118" s="35" t="str">
        <f>'1 lentelė'!$C118</f>
        <v>R090019-380000-2224</v>
      </c>
      <c r="D118" s="35" t="str">
        <f>'1 lentelė'!$D118</f>
        <v>Kraštovaizdžio formavimas, pažeistų žemių tvarkymas Ignalinos rajone ir bendrųjų planų tikslinimas</v>
      </c>
      <c r="E118" s="35" t="s">
        <v>66</v>
      </c>
      <c r="F118" s="159" t="s">
        <v>66</v>
      </c>
      <c r="G118" s="347" t="str">
        <f>'2 lentelė'!E118</f>
        <v>P.N.092</v>
      </c>
      <c r="H118" s="32" t="str">
        <f>'2 lentelė'!F118</f>
        <v xml:space="preserve">Kraštovaizdžio ir (ar) gamtinio karkaso formavimo aspektais pakeisti ar pakoreguoti savivaldybių ar jų dalių bendrieji planai </v>
      </c>
      <c r="I118" s="176">
        <f>'2 lentelė'!G118</f>
        <v>2</v>
      </c>
      <c r="J118" s="56">
        <v>0</v>
      </c>
      <c r="K118" s="160">
        <v>0</v>
      </c>
      <c r="L118" s="347" t="str">
        <f>'2 lentelė'!H118</f>
        <v>P.S.338</v>
      </c>
      <c r="M118" s="32" t="str">
        <f>'2 lentelė'!I118</f>
        <v>Išsaugoti, sutvarkyti ar atkurti įvairaus teritorinio lygmens kraštovaizdžio arealai</v>
      </c>
      <c r="N118" s="176">
        <f>'2 lentelė'!J118</f>
        <v>1</v>
      </c>
      <c r="O118" s="56">
        <v>0</v>
      </c>
      <c r="P118" s="160">
        <v>0</v>
      </c>
      <c r="Q118" s="348" t="str">
        <f>'2 lentelė'!K118</f>
        <v>R.N.091</v>
      </c>
      <c r="R118" s="29" t="str">
        <f>'2 lentelė'!L118</f>
        <v>Teritorijų, kuriose įgyvendintos kraštovaizdžio formavimo priemonės, plotas, ha</v>
      </c>
      <c r="S118" s="283">
        <f>'2 lentelė'!M118</f>
        <v>10</v>
      </c>
      <c r="T118" s="29">
        <v>0</v>
      </c>
      <c r="U118" s="136">
        <v>0</v>
      </c>
      <c r="V118" s="348" t="str">
        <f>'2 lentelė'!N118</f>
        <v>P.N.094</v>
      </c>
      <c r="W118" s="29" t="str">
        <f>'2 lentelė'!O118</f>
        <v>Rekultyvuotos atvirais kasiniais pažeistos žemės</v>
      </c>
      <c r="X118" s="283">
        <f>'2 lentelė'!P118</f>
        <v>2</v>
      </c>
      <c r="Y118" s="78">
        <v>0</v>
      </c>
      <c r="Z118" s="178">
        <v>0</v>
      </c>
      <c r="AA118" s="348" t="str">
        <f>'2 lentelė'!Q118</f>
        <v>P.N.093</v>
      </c>
      <c r="AB118" s="29" t="str">
        <f>'2 lentelė'!R118</f>
        <v>Likviduoti kraštovaizdį darkantys bešeimininkiai apleisti statiniai ir įrenginiai</v>
      </c>
      <c r="AC118" s="351">
        <f>'2 lentelė'!S118</f>
        <v>8</v>
      </c>
      <c r="AD118" s="29">
        <v>0</v>
      </c>
      <c r="AE118" s="178">
        <v>0</v>
      </c>
      <c r="AF118" s="138"/>
      <c r="AG118" s="54"/>
      <c r="AH118" s="54"/>
      <c r="AI118" s="74"/>
      <c r="AJ118" s="149"/>
      <c r="AK118" s="6"/>
    </row>
    <row r="119" spans="2:37" ht="66.75" customHeight="1" x14ac:dyDescent="0.25">
      <c r="B119" s="35" t="str">
        <f>'1 lentelė'!$B119</f>
        <v>2.2.2.1.11</v>
      </c>
      <c r="C119" s="35" t="str">
        <f>'1 lentelė'!$C119</f>
        <v>R090019-380000-2225</v>
      </c>
      <c r="D119" s="35" t="str">
        <f>'1 lentelė'!$D119</f>
        <v>Bešeimininkių apleistų statinių likvidavimas Molėtų rajono savivaldybėje</v>
      </c>
      <c r="E119" s="35" t="s">
        <v>66</v>
      </c>
      <c r="F119" s="159" t="s">
        <v>1470</v>
      </c>
      <c r="G119" s="347" t="str">
        <f>'2 lentelė'!E119</f>
        <v>P.N.093</v>
      </c>
      <c r="H119" s="32" t="str">
        <f>'2 lentelė'!F119</f>
        <v>Likviduoti kraštovaizdį darkantys bešeimininkiai apleisti statiniai ir įrenginiai</v>
      </c>
      <c r="I119" s="176">
        <f>'2 lentelė'!G119</f>
        <v>2</v>
      </c>
      <c r="J119" s="56">
        <v>2</v>
      </c>
      <c r="K119" s="160">
        <v>0</v>
      </c>
      <c r="L119" s="347" t="str">
        <f>'2 lentelė'!H119</f>
        <v>R.N.091</v>
      </c>
      <c r="M119" s="32" t="str">
        <f>'2 lentelė'!I119</f>
        <v>Teritorijų, kuriose įgyvendintos kraštovaizdžio formavimo priemonės, plotas, ha</v>
      </c>
      <c r="N119" s="176">
        <f>'2 lentelė'!J119</f>
        <v>0.3</v>
      </c>
      <c r="O119" s="56">
        <v>0.3</v>
      </c>
      <c r="P119" s="160">
        <v>0</v>
      </c>
      <c r="Q119" s="135"/>
      <c r="R119" s="29"/>
      <c r="S119" s="29"/>
      <c r="T119" s="29"/>
      <c r="U119" s="136"/>
      <c r="V119" s="135"/>
      <c r="W119" s="29"/>
      <c r="X119" s="29"/>
      <c r="Y119" s="78"/>
      <c r="Z119" s="178"/>
      <c r="AA119" s="135"/>
      <c r="AB119" s="29"/>
      <c r="AC119" s="157"/>
      <c r="AD119" s="29"/>
      <c r="AE119" s="178"/>
      <c r="AF119" s="138"/>
      <c r="AG119" s="54"/>
      <c r="AH119" s="54"/>
      <c r="AI119" s="74"/>
      <c r="AJ119" s="149"/>
      <c r="AK119" s="6"/>
    </row>
    <row r="120" spans="2:37" ht="70.5" customHeight="1" x14ac:dyDescent="0.25">
      <c r="B120" s="35" t="str">
        <f>'1 lentelė'!$B120</f>
        <v>2.2.2.1.12</v>
      </c>
      <c r="C120" s="35" t="str">
        <f>'1 lentelė'!$C120</f>
        <v>R090019-380000-2226</v>
      </c>
      <c r="D120" s="35" t="str">
        <f>'1 lentelė'!$D120</f>
        <v>Bešeimininkių apleistų pastatų likvidavimas Zarasų rajone</v>
      </c>
      <c r="E120" s="35" t="s">
        <v>66</v>
      </c>
      <c r="F120" s="159" t="s">
        <v>1471</v>
      </c>
      <c r="G120" s="347" t="str">
        <f>'2 lentelė'!E120</f>
        <v>P.N.093</v>
      </c>
      <c r="H120" s="32" t="str">
        <f>'2 lentelė'!F120</f>
        <v>Likviduoti kraštovaizdį darkantys bešeimininkiai apleisti statiniai ir įrenginiai</v>
      </c>
      <c r="I120" s="176">
        <f>'2 lentelė'!G120</f>
        <v>5</v>
      </c>
      <c r="J120" s="56">
        <v>5</v>
      </c>
      <c r="K120" s="160">
        <v>0</v>
      </c>
      <c r="L120" s="347" t="str">
        <f>'2 lentelė'!H120</f>
        <v>R.N.091</v>
      </c>
      <c r="M120" s="32" t="str">
        <f>'2 lentelė'!I120</f>
        <v>Teritorijų, kuriose įgyvendintos kraštovaizdžio formavimo priemonės, plotas, ha</v>
      </c>
      <c r="N120" s="176">
        <f>'2 lentelė'!J120</f>
        <v>0.45800000000000002</v>
      </c>
      <c r="O120" s="56">
        <v>0.45800000000000002</v>
      </c>
      <c r="P120" s="160">
        <v>0</v>
      </c>
      <c r="Q120" s="283"/>
      <c r="R120" s="29"/>
      <c r="S120" s="29"/>
      <c r="T120" s="29"/>
      <c r="U120" s="136"/>
      <c r="V120" s="283"/>
      <c r="W120" s="29"/>
      <c r="X120" s="29"/>
      <c r="Y120" s="78"/>
      <c r="Z120" s="178"/>
      <c r="AA120" s="283"/>
      <c r="AB120" s="29"/>
      <c r="AC120" s="29"/>
      <c r="AD120" s="283"/>
      <c r="AE120" s="178"/>
      <c r="AF120" s="284"/>
      <c r="AG120" s="54"/>
      <c r="AH120" s="54"/>
      <c r="AI120" s="74"/>
      <c r="AJ120" s="149"/>
      <c r="AK120" s="6"/>
    </row>
    <row r="121" spans="2:37" ht="79.5" customHeight="1" x14ac:dyDescent="0.25">
      <c r="B121" s="67" t="str">
        <f>'1 lentelė'!$B121</f>
        <v xml:space="preserve">2.3 </v>
      </c>
      <c r="C121" s="67"/>
      <c r="D121" s="67" t="str">
        <f>'1 lentelė'!$D121</f>
        <v>Tikslas: Verslo ir investicijų skatinimas bei pramonės potencialo skatinimas</v>
      </c>
      <c r="E121" s="67"/>
      <c r="F121" s="154"/>
      <c r="G121" s="67"/>
      <c r="H121" s="67"/>
      <c r="I121" s="67"/>
      <c r="J121" s="67"/>
      <c r="K121" s="154"/>
      <c r="L121" s="67"/>
      <c r="M121" s="67"/>
      <c r="N121" s="67"/>
      <c r="O121" s="67"/>
      <c r="P121" s="172"/>
      <c r="Q121" s="67"/>
      <c r="R121" s="67"/>
      <c r="S121" s="67"/>
      <c r="T121" s="67"/>
      <c r="U121" s="172"/>
      <c r="V121" s="67"/>
      <c r="W121" s="67"/>
      <c r="X121" s="67"/>
      <c r="Y121" s="51"/>
      <c r="Z121" s="154"/>
      <c r="AA121" s="67"/>
      <c r="AB121" s="67"/>
      <c r="AC121" s="67"/>
      <c r="AD121" s="67"/>
      <c r="AE121" s="172"/>
      <c r="AF121" s="67"/>
      <c r="AG121" s="67"/>
      <c r="AH121" s="67"/>
      <c r="AI121" s="51"/>
      <c r="AJ121" s="154"/>
      <c r="AK121" s="6"/>
    </row>
    <row r="122" spans="2:37" ht="88.5" customHeight="1" x14ac:dyDescent="0.25">
      <c r="B122" s="71" t="str">
        <f>'1 lentelė'!$B122</f>
        <v>2.3.1</v>
      </c>
      <c r="C122" s="71"/>
      <c r="D122" s="70" t="str">
        <f>'1 lentelė'!$D122</f>
        <v>Uždavinys: Sukurti infrastruktūrą ir palankią aplinką vidaus ir užsienio investuotojams</v>
      </c>
      <c r="E122" s="71"/>
      <c r="F122" s="158"/>
      <c r="G122" s="71"/>
      <c r="H122" s="71"/>
      <c r="I122" s="71"/>
      <c r="J122" s="71"/>
      <c r="K122" s="158"/>
      <c r="L122" s="71"/>
      <c r="M122" s="71"/>
      <c r="N122" s="71"/>
      <c r="O122" s="71"/>
      <c r="P122" s="174"/>
      <c r="Q122" s="71"/>
      <c r="R122" s="71"/>
      <c r="S122" s="71"/>
      <c r="T122" s="71"/>
      <c r="U122" s="174"/>
      <c r="V122" s="71"/>
      <c r="W122" s="71"/>
      <c r="X122" s="71"/>
      <c r="Y122" s="49"/>
      <c r="Z122" s="158"/>
      <c r="AA122" s="71"/>
      <c r="AB122" s="71"/>
      <c r="AC122" s="71"/>
      <c r="AD122" s="71"/>
      <c r="AE122" s="174"/>
      <c r="AF122" s="71"/>
      <c r="AG122" s="71"/>
      <c r="AH122" s="71"/>
      <c r="AI122" s="49"/>
      <c r="AJ122" s="158"/>
      <c r="AK122" s="6"/>
    </row>
    <row r="123" spans="2:37" ht="28.5" customHeight="1" x14ac:dyDescent="0.25">
      <c r="B123" s="60" t="str">
        <f>'1 lentelė'!$B123</f>
        <v>2.3.1.1</v>
      </c>
      <c r="C123" s="60"/>
      <c r="D123" s="91" t="str">
        <f>'1 lentelė'!$D123</f>
        <v>Priemonė: Sukurti ir (arba) išplėtoti pramoninių parkų infrastruktūrą ir taip sudaryti sąlygas pritraukti tiesioginių užsienio investicijų sumanios specializacijos srityse (valstybinė SMART PARK LT)</v>
      </c>
      <c r="E123" s="60"/>
      <c r="F123" s="152"/>
      <c r="G123" s="60"/>
      <c r="H123" s="60"/>
      <c r="I123" s="60"/>
      <c r="J123" s="60"/>
      <c r="K123" s="152"/>
      <c r="L123" s="60"/>
      <c r="M123" s="60"/>
      <c r="N123" s="60"/>
      <c r="O123" s="60"/>
      <c r="P123" s="166"/>
      <c r="Q123" s="60"/>
      <c r="R123" s="60"/>
      <c r="S123" s="60"/>
      <c r="T123" s="60"/>
      <c r="U123" s="166"/>
      <c r="V123" s="60"/>
      <c r="W123" s="60"/>
      <c r="X123" s="60"/>
      <c r="Y123" s="50"/>
      <c r="Z123" s="152"/>
      <c r="AA123" s="60"/>
      <c r="AB123" s="60"/>
      <c r="AC123" s="60"/>
      <c r="AD123" s="60"/>
      <c r="AE123" s="166"/>
      <c r="AF123" s="60"/>
      <c r="AG123" s="60"/>
      <c r="AH123" s="60"/>
      <c r="AI123" s="50"/>
      <c r="AJ123" s="152"/>
      <c r="AK123" s="6"/>
    </row>
    <row r="124" spans="2:37" ht="134.25" customHeight="1" x14ac:dyDescent="0.25">
      <c r="B124" s="35" t="str">
        <f>'1 lentelė'!$B124</f>
        <v>2.3.1.1.1</v>
      </c>
      <c r="C124" s="35" t="str">
        <f>'1 lentelė'!$C124</f>
        <v>R098830-360000-2301</v>
      </c>
      <c r="D124" s="35" t="str">
        <f>'1 lentelė'!$D124</f>
        <v>Investicijos į Visagine kuriamo pramoninio parko (SMART PARK) inžinerinius tinklus ir susisiekimo komunikacijas bei pramoninio parko rinkodarą</v>
      </c>
      <c r="E124" s="35" t="s">
        <v>65</v>
      </c>
      <c r="F124" s="298" t="s">
        <v>66</v>
      </c>
      <c r="G124" s="352" t="str">
        <f>'2 lentelė'!E124</f>
        <v>P.S.303</v>
      </c>
      <c r="H124" s="58" t="str">
        <f>'2 lentelė'!F124</f>
        <v>Investicijas gavusių viešųjų teritorijų plotas, ha</v>
      </c>
      <c r="I124" s="353">
        <f>'2 lentelė'!G124</f>
        <v>9</v>
      </c>
      <c r="J124" s="56">
        <v>0</v>
      </c>
      <c r="K124" s="160">
        <v>0</v>
      </c>
      <c r="L124" s="133"/>
      <c r="M124" s="32"/>
      <c r="N124" s="32"/>
      <c r="O124" s="56"/>
      <c r="P124" s="160"/>
      <c r="Q124" s="135"/>
      <c r="R124" s="29"/>
      <c r="S124" s="29"/>
      <c r="T124" s="56"/>
      <c r="U124" s="160"/>
      <c r="V124" s="137"/>
      <c r="W124" s="37"/>
      <c r="X124" s="29"/>
      <c r="Y124" s="29"/>
      <c r="Z124" s="136"/>
      <c r="AA124" s="138"/>
      <c r="AB124" s="54"/>
      <c r="AC124" s="54"/>
      <c r="AD124" s="74"/>
      <c r="AE124" s="149"/>
      <c r="AF124" s="138"/>
      <c r="AG124" s="54"/>
      <c r="AH124" s="54"/>
      <c r="AI124" s="74"/>
      <c r="AJ124" s="149"/>
      <c r="AK124" s="6"/>
    </row>
    <row r="125" spans="2:37" ht="53.25" customHeight="1" x14ac:dyDescent="0.25">
      <c r="B125" s="70" t="str">
        <f>'1 lentelė'!$B125</f>
        <v>2.3.2</v>
      </c>
      <c r="C125" s="70"/>
      <c r="D125" s="70" t="str">
        <f>'1 lentelė'!$D125</f>
        <v>Uždavinys: Skatinti bendruomeninį-socialinį verslą</v>
      </c>
      <c r="E125" s="70"/>
      <c r="F125" s="151"/>
      <c r="G125" s="70"/>
      <c r="H125" s="70"/>
      <c r="I125" s="70"/>
      <c r="J125" s="70"/>
      <c r="K125" s="151"/>
      <c r="L125" s="70"/>
      <c r="M125" s="70"/>
      <c r="N125" s="70"/>
      <c r="O125" s="70"/>
      <c r="P125" s="151"/>
      <c r="Q125" s="70"/>
      <c r="R125" s="70"/>
      <c r="S125" s="70"/>
      <c r="T125" s="70"/>
      <c r="U125" s="173"/>
      <c r="V125" s="70"/>
      <c r="W125" s="70"/>
      <c r="X125" s="70"/>
      <c r="Y125" s="48"/>
      <c r="Z125" s="151"/>
      <c r="AA125" s="70"/>
      <c r="AB125" s="70"/>
      <c r="AC125" s="70"/>
      <c r="AD125" s="70"/>
      <c r="AE125" s="173"/>
      <c r="AF125" s="70"/>
      <c r="AG125" s="70"/>
      <c r="AH125" s="70"/>
      <c r="AI125" s="48"/>
      <c r="AJ125" s="151"/>
      <c r="AK125" s="6"/>
    </row>
    <row r="126" spans="2:37" ht="57.75" customHeight="1" x14ac:dyDescent="0.25">
      <c r="B126" s="60" t="str">
        <f>'1 lentelė'!$B126</f>
        <v>2.3.2.1</v>
      </c>
      <c r="C126" s="60"/>
      <c r="D126" s="91" t="str">
        <f>'1 lentelė'!$D126</f>
        <v>Priemonė: konkursinė, VVG strategijų įgyvendinimas</v>
      </c>
      <c r="E126" s="60"/>
      <c r="F126" s="152"/>
      <c r="G126" s="60"/>
      <c r="H126" s="60"/>
      <c r="I126" s="60"/>
      <c r="J126" s="60"/>
      <c r="K126" s="152"/>
      <c r="L126" s="60"/>
      <c r="M126" s="60"/>
      <c r="N126" s="60"/>
      <c r="O126" s="60"/>
      <c r="P126" s="152"/>
      <c r="Q126" s="60"/>
      <c r="R126" s="60"/>
      <c r="S126" s="60"/>
      <c r="T126" s="60"/>
      <c r="U126" s="166"/>
      <c r="V126" s="60"/>
      <c r="W126" s="60"/>
      <c r="X126" s="60"/>
      <c r="Y126" s="50"/>
      <c r="Z126" s="152"/>
      <c r="AA126" s="60"/>
      <c r="AB126" s="60"/>
      <c r="AC126" s="60"/>
      <c r="AD126" s="60"/>
      <c r="AE126" s="166"/>
      <c r="AF126" s="60"/>
      <c r="AG126" s="60"/>
      <c r="AH126" s="60"/>
      <c r="AI126" s="50"/>
      <c r="AJ126" s="152"/>
      <c r="AK126" s="6"/>
    </row>
    <row r="127" spans="2:37" ht="93" customHeight="1" x14ac:dyDescent="0.25">
      <c r="B127" s="68" t="str">
        <f>'1 lentelė'!$B127</f>
        <v>2.3.3</v>
      </c>
      <c r="C127" s="68"/>
      <c r="D127" s="69" t="str">
        <f>'1 lentelė'!$D127</f>
        <v>Uždavinys:  Didinti regiono konkurencingumą skatinant tarpregioninį bendradarbiavimą ir partnerystę</v>
      </c>
      <c r="E127" s="68"/>
      <c r="F127" s="179"/>
      <c r="G127" s="68"/>
      <c r="H127" s="68"/>
      <c r="I127" s="68"/>
      <c r="J127" s="68"/>
      <c r="K127" s="179"/>
      <c r="L127" s="68"/>
      <c r="M127" s="68"/>
      <c r="N127" s="68"/>
      <c r="O127" s="68"/>
      <c r="P127" s="179"/>
      <c r="Q127" s="68"/>
      <c r="R127" s="68"/>
      <c r="S127" s="68"/>
      <c r="T127" s="68"/>
      <c r="U127" s="179"/>
      <c r="V127" s="68"/>
      <c r="W127" s="68"/>
      <c r="X127" s="68"/>
      <c r="Y127" s="68"/>
      <c r="Z127" s="179"/>
      <c r="AA127" s="68"/>
      <c r="AB127" s="68"/>
      <c r="AC127" s="68"/>
      <c r="AD127" s="68"/>
      <c r="AE127" s="179"/>
      <c r="AF127" s="68"/>
      <c r="AG127" s="68"/>
      <c r="AH127" s="68"/>
      <c r="AI127" s="68"/>
      <c r="AJ127" s="179"/>
      <c r="AK127" s="6"/>
    </row>
    <row r="128" spans="2:37" ht="54" customHeight="1" x14ac:dyDescent="0.25">
      <c r="B128" s="60" t="str">
        <f>'1 lentelė'!$B128</f>
        <v>2.3.3.1</v>
      </c>
      <c r="C128" s="60"/>
      <c r="D128" s="91" t="str">
        <f>'1 lentelė'!$D128</f>
        <v>Priemonė: Skatinti užimtumą regione</v>
      </c>
      <c r="E128" s="60"/>
      <c r="F128" s="152"/>
      <c r="G128" s="60"/>
      <c r="H128" s="60"/>
      <c r="I128" s="60"/>
      <c r="J128" s="60"/>
      <c r="K128" s="152"/>
      <c r="L128" s="60"/>
      <c r="M128" s="60"/>
      <c r="N128" s="60"/>
      <c r="O128" s="60"/>
      <c r="P128" s="152"/>
      <c r="Q128" s="60"/>
      <c r="R128" s="60"/>
      <c r="S128" s="60"/>
      <c r="T128" s="60"/>
      <c r="U128" s="166"/>
      <c r="V128" s="60"/>
      <c r="W128" s="60"/>
      <c r="X128" s="60"/>
      <c r="Y128" s="50"/>
      <c r="Z128" s="152"/>
      <c r="AA128" s="60"/>
      <c r="AB128" s="60"/>
      <c r="AC128" s="60"/>
      <c r="AD128" s="60"/>
      <c r="AE128" s="166"/>
      <c r="AF128" s="60"/>
      <c r="AG128" s="60"/>
      <c r="AH128" s="60"/>
      <c r="AI128" s="50"/>
      <c r="AJ128" s="152"/>
      <c r="AK128" s="6"/>
    </row>
    <row r="129" spans="2:37" ht="117" customHeight="1" x14ac:dyDescent="0.25">
      <c r="B129" s="35" t="str">
        <f>'1 lentelė'!$B129</f>
        <v>2.3.3.1.1</v>
      </c>
      <c r="C129" s="35" t="str">
        <f>'1 lentelė'!$C129</f>
        <v>R09B000-510000-2302</v>
      </c>
      <c r="D129" s="35" t="str">
        <f>'1 lentelė'!$D129</f>
        <v>Pasaulinio medicininių produktų gamintojo plėtros projektas                         (URPT 2018-06-07 sprendimas Nr.51/7S-31)</v>
      </c>
      <c r="E129" s="39" t="s">
        <v>31</v>
      </c>
      <c r="F129" s="132"/>
      <c r="G129" s="352" t="str">
        <f>'2 lentelė'!E129</f>
        <v>RSP.01</v>
      </c>
      <c r="H129" s="58" t="str">
        <f>'2 lentelė'!F129</f>
        <v>Sukurtos darbo vietos, vnt.</v>
      </c>
      <c r="I129" s="353">
        <f>'2 lentelė'!G129</f>
        <v>200</v>
      </c>
      <c r="J129" s="32">
        <v>0</v>
      </c>
      <c r="K129" s="134">
        <v>0</v>
      </c>
      <c r="L129" s="133"/>
      <c r="M129" s="32"/>
      <c r="N129" s="32"/>
      <c r="O129" s="58"/>
      <c r="P129" s="162"/>
      <c r="Q129" s="135"/>
      <c r="R129" s="29"/>
      <c r="S129" s="29"/>
      <c r="T129" s="58"/>
      <c r="U129" s="162"/>
      <c r="V129" s="137"/>
      <c r="W129" s="37"/>
      <c r="X129" s="29"/>
      <c r="Y129" s="32"/>
      <c r="Z129" s="134"/>
      <c r="AA129" s="138"/>
      <c r="AB129" s="54"/>
      <c r="AC129" s="54"/>
      <c r="AD129" s="74"/>
      <c r="AE129" s="149"/>
      <c r="AF129" s="138"/>
      <c r="AG129" s="54"/>
      <c r="AH129" s="54"/>
      <c r="AI129" s="74"/>
      <c r="AJ129" s="149"/>
      <c r="AK129" s="6"/>
    </row>
    <row r="130" spans="2:37" ht="51" x14ac:dyDescent="0.25">
      <c r="B130" s="92" t="str">
        <f>'1 lentelė'!$B130</f>
        <v>3.</v>
      </c>
      <c r="C130" s="92"/>
      <c r="D130" s="92" t="str">
        <f>'1 lentelė'!$D130</f>
        <v>Prioritetas: Gyvenimo kokybės gerinimas</v>
      </c>
      <c r="E130" s="64"/>
      <c r="F130" s="171"/>
      <c r="G130" s="64"/>
      <c r="H130" s="64"/>
      <c r="I130" s="64"/>
      <c r="J130" s="64"/>
      <c r="K130" s="171"/>
      <c r="L130" s="64"/>
      <c r="M130" s="64"/>
      <c r="N130" s="64"/>
      <c r="O130" s="64"/>
      <c r="P130" s="171"/>
      <c r="Q130" s="64"/>
      <c r="R130" s="64"/>
      <c r="S130" s="64"/>
      <c r="T130" s="64"/>
      <c r="U130" s="170"/>
      <c r="V130" s="64"/>
      <c r="W130" s="64"/>
      <c r="X130" s="64"/>
      <c r="Y130" s="65"/>
      <c r="Z130" s="171"/>
      <c r="AA130" s="64"/>
      <c r="AB130" s="64"/>
      <c r="AC130" s="64"/>
      <c r="AD130" s="65"/>
      <c r="AE130" s="171"/>
      <c r="AF130" s="64"/>
      <c r="AG130" s="64"/>
      <c r="AH130" s="64"/>
      <c r="AI130" s="65"/>
      <c r="AJ130" s="171"/>
      <c r="AK130" s="6"/>
    </row>
    <row r="131" spans="2:37" ht="61.5" customHeight="1" x14ac:dyDescent="0.25">
      <c r="B131" s="67" t="str">
        <f>'1 lentelė'!$B131</f>
        <v xml:space="preserve">3.1 </v>
      </c>
      <c r="C131" s="67"/>
      <c r="D131" s="67" t="str">
        <f>'1 lentelė'!$D131</f>
        <v>Tikslas: Mokymosi visą gyvenimą ir kūrybiškumo skatinimas</v>
      </c>
      <c r="E131" s="67"/>
      <c r="F131" s="154"/>
      <c r="G131" s="67"/>
      <c r="H131" s="67"/>
      <c r="I131" s="67"/>
      <c r="J131" s="67"/>
      <c r="K131" s="154"/>
      <c r="L131" s="67"/>
      <c r="M131" s="67"/>
      <c r="N131" s="67"/>
      <c r="O131" s="67"/>
      <c r="P131" s="154"/>
      <c r="Q131" s="67"/>
      <c r="R131" s="67"/>
      <c r="S131" s="67"/>
      <c r="T131" s="67"/>
      <c r="U131" s="172"/>
      <c r="V131" s="67"/>
      <c r="W131" s="67"/>
      <c r="X131" s="67"/>
      <c r="Y131" s="51"/>
      <c r="Z131" s="154"/>
      <c r="AA131" s="67"/>
      <c r="AB131" s="67"/>
      <c r="AC131" s="67"/>
      <c r="AD131" s="51"/>
      <c r="AE131" s="154"/>
      <c r="AF131" s="67"/>
      <c r="AG131" s="67"/>
      <c r="AH131" s="67"/>
      <c r="AI131" s="51"/>
      <c r="AJ131" s="154"/>
      <c r="AK131" s="6"/>
    </row>
    <row r="132" spans="2:37" ht="80.25" customHeight="1" x14ac:dyDescent="0.25">
      <c r="B132" s="70" t="str">
        <f>'1 lentelė'!$B132</f>
        <v>3.1.1</v>
      </c>
      <c r="C132" s="70"/>
      <c r="D132" s="70" t="str">
        <f>'1 lentelė'!$D132</f>
        <v>Uždavinys: Gerinti švietimo kokybę, modernizuojant švietimo infrastruktūrą</v>
      </c>
      <c r="E132" s="70"/>
      <c r="F132" s="151"/>
      <c r="G132" s="70"/>
      <c r="H132" s="70"/>
      <c r="I132" s="70"/>
      <c r="J132" s="70"/>
      <c r="K132" s="151"/>
      <c r="L132" s="70"/>
      <c r="M132" s="70"/>
      <c r="N132" s="70"/>
      <c r="O132" s="70"/>
      <c r="P132" s="151"/>
      <c r="Q132" s="70"/>
      <c r="R132" s="70"/>
      <c r="S132" s="70"/>
      <c r="T132" s="70"/>
      <c r="U132" s="173"/>
      <c r="V132" s="70"/>
      <c r="W132" s="70"/>
      <c r="X132" s="70"/>
      <c r="Y132" s="48"/>
      <c r="Z132" s="151"/>
      <c r="AA132" s="70"/>
      <c r="AB132" s="70"/>
      <c r="AC132" s="70"/>
      <c r="AD132" s="48"/>
      <c r="AE132" s="151"/>
      <c r="AF132" s="70"/>
      <c r="AG132" s="70"/>
      <c r="AH132" s="70"/>
      <c r="AI132" s="48"/>
      <c r="AJ132" s="151"/>
      <c r="AK132" s="6"/>
    </row>
    <row r="133" spans="2:37" ht="81" customHeight="1" x14ac:dyDescent="0.25">
      <c r="B133" s="60" t="str">
        <f>'1 lentelė'!$B133</f>
        <v>3.1.1.1</v>
      </c>
      <c r="C133" s="60"/>
      <c r="D133" s="91" t="str">
        <f>'1 lentelė'!$D133</f>
        <v>Priemonė: Ikimokyklinio ir priešmokyklinio ugdymo prieinamumo didinimas</v>
      </c>
      <c r="E133" s="60"/>
      <c r="F133" s="152"/>
      <c r="G133" s="60"/>
      <c r="H133" s="60"/>
      <c r="I133" s="60"/>
      <c r="J133" s="60"/>
      <c r="K133" s="152"/>
      <c r="L133" s="60"/>
      <c r="M133" s="60"/>
      <c r="N133" s="60"/>
      <c r="O133" s="60"/>
      <c r="P133" s="152"/>
      <c r="Q133" s="60"/>
      <c r="R133" s="60"/>
      <c r="S133" s="60"/>
      <c r="T133" s="60"/>
      <c r="U133" s="166"/>
      <c r="V133" s="60"/>
      <c r="W133" s="60"/>
      <c r="X133" s="60"/>
      <c r="Y133" s="50"/>
      <c r="Z133" s="152"/>
      <c r="AA133" s="60"/>
      <c r="AB133" s="60"/>
      <c r="AC133" s="60"/>
      <c r="AD133" s="50"/>
      <c r="AE133" s="152"/>
      <c r="AF133" s="60"/>
      <c r="AG133" s="60"/>
      <c r="AH133" s="60"/>
      <c r="AI133" s="50"/>
      <c r="AJ133" s="152"/>
      <c r="AK133" s="6"/>
    </row>
    <row r="134" spans="2:37" hidden="1" x14ac:dyDescent="0.25">
      <c r="B134" s="35"/>
      <c r="C134" s="35"/>
      <c r="D134" s="35"/>
      <c r="E134" s="42"/>
      <c r="F134" s="180"/>
      <c r="G134" s="133"/>
      <c r="H134" s="32"/>
      <c r="I134" s="32"/>
      <c r="J134" s="32"/>
      <c r="K134" s="134"/>
      <c r="L134" s="133"/>
      <c r="M134" s="32"/>
      <c r="N134" s="32"/>
      <c r="O134" s="32"/>
      <c r="P134" s="134"/>
      <c r="Q134" s="135"/>
      <c r="R134" s="29"/>
      <c r="S134" s="29"/>
      <c r="T134" s="29"/>
      <c r="U134" s="136"/>
      <c r="V134" s="137"/>
      <c r="W134" s="37"/>
      <c r="X134" s="29"/>
      <c r="Y134" s="29"/>
      <c r="Z134" s="136"/>
      <c r="AA134" s="138"/>
      <c r="AB134" s="54"/>
      <c r="AC134" s="54"/>
      <c r="AD134" s="74"/>
      <c r="AE134" s="149"/>
      <c r="AF134" s="138"/>
      <c r="AG134" s="54"/>
      <c r="AH134" s="54"/>
      <c r="AI134" s="74"/>
      <c r="AJ134" s="149"/>
      <c r="AK134" s="6"/>
    </row>
    <row r="135" spans="2:37" ht="117.75" customHeight="1" x14ac:dyDescent="0.25">
      <c r="B135" s="35" t="str">
        <f>'1 lentelė'!$B134</f>
        <v>3.1.1.1.2</v>
      </c>
      <c r="C135" s="35" t="str">
        <f>'1 lentelė'!$C134</f>
        <v>R097705-230000-3102</v>
      </c>
      <c r="D135" s="35" t="str">
        <f>'1 lentelė'!$D134</f>
        <v>Utenos vaikų lopšelio darželio „Šaltinėlis“ vidaus patalpų modernizavimas</v>
      </c>
      <c r="E135" s="35" t="s">
        <v>65</v>
      </c>
      <c r="F135" s="169" t="s">
        <v>982</v>
      </c>
      <c r="G135" s="347" t="str">
        <f>'2 lentelė'!E134</f>
        <v>P.N.717</v>
      </c>
      <c r="H135" s="32" t="str">
        <f>'2 lentelė'!F134</f>
        <v>Pagal veiksmų programą ERPF lėšomis atnaujintos ikimokyklinio ir priešmokyklinio ugdymo mokyklos, vnt.</v>
      </c>
      <c r="I135" s="176">
        <f>'2 lentelė'!G134</f>
        <v>1</v>
      </c>
      <c r="J135" s="58">
        <v>1</v>
      </c>
      <c r="K135" s="162">
        <v>0</v>
      </c>
      <c r="L135" s="347" t="str">
        <f>'2 lentelė'!H134</f>
        <v>P.N.743</v>
      </c>
      <c r="M135" s="32" t="str">
        <f>'2 lentelė'!I134</f>
        <v xml:space="preserve">Pagal veiksmų programą ERPF lėšomis atnaujintos ikimokyklinio ir/ar priešmokyklinio ugdymo grupės </v>
      </c>
      <c r="N135" s="176">
        <f>'2 lentelė'!J134</f>
        <v>4</v>
      </c>
      <c r="O135" s="58">
        <v>4</v>
      </c>
      <c r="P135" s="162">
        <v>0</v>
      </c>
      <c r="Q135" s="348" t="str">
        <f>'2 lentelė'!K134</f>
        <v>P.B.235</v>
      </c>
      <c r="R135" s="29" t="str">
        <f>'2 lentelė'!L134</f>
        <v>Investicijas gavusios vaikų priežiūros arba švietimo infrastruktūros pajėgumas</v>
      </c>
      <c r="S135" s="283">
        <f>'2 lentelė'!M134</f>
        <v>190</v>
      </c>
      <c r="T135" s="58">
        <v>190</v>
      </c>
      <c r="U135" s="162">
        <v>0</v>
      </c>
      <c r="V135" s="348" t="str">
        <f>'2 lentelė'!N134</f>
        <v>P.S.434</v>
      </c>
      <c r="W135" s="37" t="str">
        <f>'2 lentelė'!O134</f>
        <v>Pagal veiksmų programą ERPF lėšomis atnaujintos ikimokyklinio ir/ar priešmokyklinio ugdymo vietos</v>
      </c>
      <c r="X135" s="283">
        <f>'2 lentelė'!P134</f>
        <v>70</v>
      </c>
      <c r="Y135" s="32">
        <v>70</v>
      </c>
      <c r="Z135" s="134">
        <v>0</v>
      </c>
      <c r="AA135" s="138"/>
      <c r="AB135" s="54"/>
      <c r="AC135" s="54"/>
      <c r="AD135" s="74"/>
      <c r="AE135" s="149"/>
      <c r="AF135" s="138"/>
      <c r="AG135" s="54"/>
      <c r="AH135" s="54"/>
      <c r="AI135" s="74"/>
      <c r="AJ135" s="149"/>
      <c r="AK135" s="6"/>
    </row>
    <row r="136" spans="2:37" ht="117.75" customHeight="1" x14ac:dyDescent="0.25">
      <c r="B136" s="35" t="str">
        <f>'1 lentelė'!$B135</f>
        <v>3.1.1.1.3</v>
      </c>
      <c r="C136" s="35" t="str">
        <f>'1 lentelė'!$C135</f>
        <v>R097705-230000-3103</v>
      </c>
      <c r="D136" s="35" t="str">
        <f>'1 lentelė'!$D135</f>
        <v>Utenos vaikų lopšelio – darželio ,,Pasaka" vidaus patalpų modernizavimas</v>
      </c>
      <c r="E136" s="303" t="s">
        <v>66</v>
      </c>
      <c r="F136" s="169" t="s">
        <v>1476</v>
      </c>
      <c r="G136" s="347" t="str">
        <f>'2 lentelė'!E135</f>
        <v>P.N.717</v>
      </c>
      <c r="H136" s="32" t="str">
        <f>'2 lentelė'!F135</f>
        <v>Pagal veiksmų programą ERPF lėšomis atnaujintos ikimokyklinio ir priešmokyklinio ugdymo mokyklos, vnt.</v>
      </c>
      <c r="I136" s="176">
        <f>'2 lentelė'!G135</f>
        <v>1</v>
      </c>
      <c r="J136" s="58">
        <v>0</v>
      </c>
      <c r="K136" s="162">
        <v>0</v>
      </c>
      <c r="L136" s="347" t="str">
        <f>'2 lentelė'!H135</f>
        <v>P.N.743</v>
      </c>
      <c r="M136" s="32" t="str">
        <f>'2 lentelė'!I135</f>
        <v xml:space="preserve">Pagal veiksmų programą ERPF lėšomis atnaujintos ikimokyklinio ir/ar priešmokyklinio ugdymo grupės </v>
      </c>
      <c r="N136" s="176">
        <f>'2 lentelė'!J135</f>
        <v>3</v>
      </c>
      <c r="O136" s="58">
        <v>0</v>
      </c>
      <c r="P136" s="162">
        <v>0</v>
      </c>
      <c r="Q136" s="348" t="str">
        <f>'2 lentelė'!K135</f>
        <v>P.B.235</v>
      </c>
      <c r="R136" s="29" t="str">
        <f>'2 lentelė'!L135</f>
        <v>Investicijas gavusios vaikų priežiūros arba švietimo infrastruktūros pajėgumas</v>
      </c>
      <c r="S136" s="283">
        <f>'2 lentelė'!M135</f>
        <v>210</v>
      </c>
      <c r="T136" s="58">
        <v>0</v>
      </c>
      <c r="U136" s="162">
        <v>0</v>
      </c>
      <c r="V136" s="348" t="str">
        <f>'2 lentelė'!N135</f>
        <v>P.S.434</v>
      </c>
      <c r="W136" s="37" t="str">
        <f>'2 lentelė'!O135</f>
        <v>Pagal veiksmų programą ERPF lėšomis atnaujintos ikimokyklinio ir/ar priešmokyklinio ugdymo vietos</v>
      </c>
      <c r="X136" s="283">
        <f>'2 lentelė'!P135</f>
        <v>50</v>
      </c>
      <c r="Y136" s="32">
        <v>0</v>
      </c>
      <c r="Z136" s="134">
        <v>0</v>
      </c>
      <c r="AA136" s="284"/>
      <c r="AB136" s="54"/>
      <c r="AC136" s="54"/>
      <c r="AD136" s="74"/>
      <c r="AE136" s="149"/>
      <c r="AF136" s="284"/>
      <c r="AG136" s="54"/>
      <c r="AH136" s="54"/>
      <c r="AI136" s="74"/>
      <c r="AJ136" s="149"/>
      <c r="AK136" s="6"/>
    </row>
    <row r="137" spans="2:37" ht="55.5" customHeight="1" x14ac:dyDescent="0.25">
      <c r="B137" s="60" t="str">
        <f>'1 lentelė'!$B136</f>
        <v>3.1.1.2</v>
      </c>
      <c r="C137" s="60"/>
      <c r="D137" s="60" t="str">
        <f>'1 lentelė'!$D136</f>
        <v>Priemonė:  Mokyklų tinklo efektyvumo didinimas</v>
      </c>
      <c r="E137" s="60"/>
      <c r="F137" s="152"/>
      <c r="G137" s="60"/>
      <c r="H137" s="60"/>
      <c r="I137" s="60"/>
      <c r="J137" s="60"/>
      <c r="K137" s="152"/>
      <c r="L137" s="60"/>
      <c r="M137" s="60"/>
      <c r="N137" s="60"/>
      <c r="O137" s="60"/>
      <c r="P137" s="152"/>
      <c r="Q137" s="60"/>
      <c r="R137" s="60"/>
      <c r="S137" s="60"/>
      <c r="T137" s="60"/>
      <c r="U137" s="166"/>
      <c r="V137" s="60"/>
      <c r="W137" s="60"/>
      <c r="X137" s="60"/>
      <c r="Y137" s="50"/>
      <c r="Z137" s="152"/>
      <c r="AA137" s="60"/>
      <c r="AB137" s="60"/>
      <c r="AC137" s="60"/>
      <c r="AD137" s="50"/>
      <c r="AE137" s="152"/>
      <c r="AF137" s="60"/>
      <c r="AG137" s="60"/>
      <c r="AH137" s="60"/>
      <c r="AI137" s="50"/>
      <c r="AJ137" s="152"/>
      <c r="AK137" s="6"/>
    </row>
    <row r="138" spans="2:37" ht="101.25" customHeight="1" x14ac:dyDescent="0.25">
      <c r="B138" s="35" t="str">
        <f>'1 lentelė'!$B137</f>
        <v>3.1.1.2.1</v>
      </c>
      <c r="C138" s="35" t="str">
        <f>'1 lentelė'!$C137</f>
        <v>R097724-220000-3103</v>
      </c>
      <c r="D138" s="35" t="str">
        <f>'1 lentelė'!$D137</f>
        <v xml:space="preserve">Anykščių miesto A.Vienuolio progimnazijos modernizavimas (vidaus erdvių remontas ir aprūpinimas įranga) </v>
      </c>
      <c r="E138" s="35" t="s">
        <v>65</v>
      </c>
      <c r="F138" s="169" t="s">
        <v>983</v>
      </c>
      <c r="G138" s="347" t="str">
        <f>'2 lentelė'!E137</f>
        <v>P.N.722</v>
      </c>
      <c r="H138" s="32" t="str">
        <f>'2 lentelė'!F137</f>
        <v>Pagal veiksmų programą ERPF lėšomis atnaujintos bendrojo ugdymo mokyklos, vnt.</v>
      </c>
      <c r="I138" s="176">
        <f>'2 lentelė'!G137</f>
        <v>1</v>
      </c>
      <c r="J138" s="58">
        <v>1</v>
      </c>
      <c r="K138" s="162">
        <v>0</v>
      </c>
      <c r="L138" s="347" t="str">
        <f>'2 lentelė'!H137</f>
        <v>P.B.235</v>
      </c>
      <c r="M138" s="32" t="str">
        <f>'2 lentelė'!I137</f>
        <v>Investicijas gavusios vaikų priežiūros arba švietimo infrastruktūros pajėgumas</v>
      </c>
      <c r="N138" s="176">
        <f>'2 lentelė'!J137</f>
        <v>470</v>
      </c>
      <c r="O138" s="58">
        <v>470</v>
      </c>
      <c r="P138" s="162">
        <v>0</v>
      </c>
      <c r="Q138" s="135"/>
      <c r="R138" s="29"/>
      <c r="S138" s="29"/>
      <c r="T138" s="56"/>
      <c r="U138" s="160"/>
      <c r="V138" s="137"/>
      <c r="W138" s="37"/>
      <c r="X138" s="29"/>
      <c r="Y138" s="29"/>
      <c r="Z138" s="136"/>
      <c r="AA138" s="138"/>
      <c r="AB138" s="54"/>
      <c r="AC138" s="54"/>
      <c r="AD138" s="74"/>
      <c r="AE138" s="149"/>
      <c r="AF138" s="138"/>
      <c r="AG138" s="54"/>
      <c r="AH138" s="54"/>
      <c r="AI138" s="74"/>
      <c r="AJ138" s="149"/>
      <c r="AK138" s="6"/>
    </row>
    <row r="139" spans="2:37" ht="110.25" customHeight="1" x14ac:dyDescent="0.25">
      <c r="B139" s="35" t="str">
        <f>'1 lentelė'!$B138</f>
        <v>3.1.1.2.2</v>
      </c>
      <c r="C139" s="35" t="str">
        <f>'1 lentelė'!$C138</f>
        <v>R097724-220000-3104</v>
      </c>
      <c r="D139" s="35" t="str">
        <f>'1 lentelė'!$D138</f>
        <v xml:space="preserve">„Kūrybiškumą skatinančių edukacinių erdvių kūrimas Molėtų gimnazijos vidaus patalpose“ </v>
      </c>
      <c r="E139" s="39" t="s">
        <v>66</v>
      </c>
      <c r="F139" s="159" t="s">
        <v>984</v>
      </c>
      <c r="G139" s="347" t="str">
        <f>'2 lentelė'!E138</f>
        <v>P.N.722</v>
      </c>
      <c r="H139" s="32" t="str">
        <f>'2 lentelė'!F138</f>
        <v>Pagal veiksmų programą ERPF lėšomis atnaujintos bendrojo ugdymo mokyklos, vnt.</v>
      </c>
      <c r="I139" s="176">
        <f>'2 lentelė'!G138</f>
        <v>1</v>
      </c>
      <c r="J139" s="58">
        <v>1</v>
      </c>
      <c r="K139" s="162">
        <v>0</v>
      </c>
      <c r="L139" s="347" t="str">
        <f>'2 lentelė'!H138</f>
        <v>P.B.235</v>
      </c>
      <c r="M139" s="32" t="str">
        <f>'2 lentelė'!I138</f>
        <v>Investicijas gavusios vaikų priežiūros arba švietimo infrastruktūros pajėgumas</v>
      </c>
      <c r="N139" s="176">
        <f>'2 lentelė'!J138</f>
        <v>447</v>
      </c>
      <c r="O139" s="29">
        <v>447</v>
      </c>
      <c r="P139" s="136">
        <v>0</v>
      </c>
      <c r="Q139" s="135"/>
      <c r="R139" s="29"/>
      <c r="S139" s="29"/>
      <c r="T139" s="56"/>
      <c r="U139" s="160"/>
      <c r="V139" s="137"/>
      <c r="W139" s="37"/>
      <c r="X139" s="29"/>
      <c r="Y139" s="29"/>
      <c r="Z139" s="136"/>
      <c r="AA139" s="138"/>
      <c r="AB139" s="54"/>
      <c r="AC139" s="54"/>
      <c r="AD139" s="74"/>
      <c r="AE139" s="149"/>
      <c r="AF139" s="138"/>
      <c r="AG139" s="54"/>
      <c r="AH139" s="54"/>
      <c r="AI139" s="74"/>
      <c r="AJ139" s="149"/>
      <c r="AK139" s="6"/>
    </row>
    <row r="140" spans="2:37" ht="91.5" customHeight="1" x14ac:dyDescent="0.25">
      <c r="B140" s="35" t="str">
        <f>'1 lentelė'!$B139</f>
        <v>3.1.1.2.3</v>
      </c>
      <c r="C140" s="35" t="str">
        <f>'1 lentelė'!$C139</f>
        <v>R097724-220000-3105</v>
      </c>
      <c r="D140" s="35" t="str">
        <f>'1 lentelė'!$D139</f>
        <v xml:space="preserve">„Edukacinių erdvių kūrimas Ignalinos Česlovo Kudabos progimnazijoje“ </v>
      </c>
      <c r="E140" s="39" t="s">
        <v>66</v>
      </c>
      <c r="F140" s="159" t="s">
        <v>985</v>
      </c>
      <c r="G140" s="347" t="str">
        <f>'2 lentelė'!E139</f>
        <v>P.N.722</v>
      </c>
      <c r="H140" s="32" t="str">
        <f>'2 lentelė'!F139</f>
        <v>Pagal veiksmų programą ERPF lėšomis atnaujintos bendrojo ugdymo mokyklos, vnt.</v>
      </c>
      <c r="I140" s="176">
        <f>'2 lentelė'!G139</f>
        <v>1</v>
      </c>
      <c r="J140" s="58">
        <v>1</v>
      </c>
      <c r="K140" s="162">
        <v>0</v>
      </c>
      <c r="L140" s="347" t="str">
        <f>'2 lentelė'!H139</f>
        <v>P.B.235</v>
      </c>
      <c r="M140" s="32" t="str">
        <f>'2 lentelė'!I139</f>
        <v>Investicijas gavusios vaikų priežiūros arba švietimo infrastruktūros pajėgumas</v>
      </c>
      <c r="N140" s="176">
        <f>'2 lentelė'!J139</f>
        <v>500</v>
      </c>
      <c r="O140" s="29">
        <v>500</v>
      </c>
      <c r="P140" s="136">
        <v>0</v>
      </c>
      <c r="Q140" s="135"/>
      <c r="R140" s="29"/>
      <c r="S140" s="29"/>
      <c r="T140" s="56"/>
      <c r="U140" s="160"/>
      <c r="V140" s="137"/>
      <c r="W140" s="37"/>
      <c r="X140" s="29"/>
      <c r="Y140" s="29"/>
      <c r="Z140" s="136"/>
      <c r="AA140" s="138"/>
      <c r="AB140" s="54"/>
      <c r="AC140" s="54"/>
      <c r="AD140" s="74"/>
      <c r="AE140" s="149"/>
      <c r="AF140" s="138"/>
      <c r="AG140" s="54"/>
      <c r="AH140" s="54"/>
      <c r="AI140" s="74"/>
      <c r="AJ140" s="149"/>
      <c r="AK140" s="6"/>
    </row>
    <row r="141" spans="2:37" ht="65.25" customHeight="1" x14ac:dyDescent="0.25">
      <c r="B141" s="71" t="str">
        <f>'1 lentelė'!$B140</f>
        <v>3.1.2</v>
      </c>
      <c r="C141" s="71"/>
      <c r="D141" s="70" t="str">
        <f>'1 lentelė'!$D140</f>
        <v>Uždavinys: Plėtoti neformalaus ugdymosi galimybes</v>
      </c>
      <c r="E141" s="71"/>
      <c r="F141" s="151"/>
      <c r="G141" s="71"/>
      <c r="H141" s="71"/>
      <c r="I141" s="71"/>
      <c r="J141" s="71"/>
      <c r="K141" s="151"/>
      <c r="L141" s="71"/>
      <c r="M141" s="71"/>
      <c r="N141" s="71"/>
      <c r="O141" s="71"/>
      <c r="P141" s="151"/>
      <c r="Q141" s="71"/>
      <c r="R141" s="71"/>
      <c r="S141" s="71"/>
      <c r="T141" s="71"/>
      <c r="U141" s="174"/>
      <c r="V141" s="71"/>
      <c r="W141" s="71"/>
      <c r="X141" s="71"/>
      <c r="Y141" s="48"/>
      <c r="Z141" s="151"/>
      <c r="AA141" s="71"/>
      <c r="AB141" s="71"/>
      <c r="AC141" s="71"/>
      <c r="AD141" s="48"/>
      <c r="AE141" s="151"/>
      <c r="AF141" s="71"/>
      <c r="AG141" s="71"/>
      <c r="AH141" s="71"/>
      <c r="AI141" s="48"/>
      <c r="AJ141" s="151"/>
      <c r="AK141" s="6"/>
    </row>
    <row r="142" spans="2:37" ht="69" customHeight="1" x14ac:dyDescent="0.25">
      <c r="B142" s="60" t="str">
        <f>'1 lentelė'!$B141</f>
        <v>3.1.2.1</v>
      </c>
      <c r="C142" s="60"/>
      <c r="D142" s="91" t="str">
        <f>'1 lentelė'!$D141</f>
        <v>Priemonė: Neformaliojo švietimo infrastruktūros tobulinimas</v>
      </c>
      <c r="E142" s="60"/>
      <c r="F142" s="152"/>
      <c r="G142" s="60"/>
      <c r="H142" s="60"/>
      <c r="I142" s="60"/>
      <c r="J142" s="60"/>
      <c r="K142" s="152"/>
      <c r="L142" s="60"/>
      <c r="M142" s="60"/>
      <c r="N142" s="60"/>
      <c r="O142" s="60"/>
      <c r="P142" s="152"/>
      <c r="Q142" s="60"/>
      <c r="R142" s="60"/>
      <c r="S142" s="60"/>
      <c r="T142" s="60"/>
      <c r="U142" s="166"/>
      <c r="V142" s="60"/>
      <c r="W142" s="60"/>
      <c r="X142" s="60"/>
      <c r="Y142" s="50"/>
      <c r="Z142" s="152"/>
      <c r="AA142" s="60"/>
      <c r="AB142" s="60"/>
      <c r="AC142" s="60"/>
      <c r="AD142" s="50"/>
      <c r="AE142" s="152"/>
      <c r="AF142" s="60"/>
      <c r="AG142" s="60"/>
      <c r="AH142" s="60"/>
      <c r="AI142" s="50"/>
      <c r="AJ142" s="152"/>
      <c r="AK142" s="6"/>
    </row>
    <row r="143" spans="2:37" ht="141.75" customHeight="1" x14ac:dyDescent="0.25">
      <c r="B143" s="35" t="str">
        <f>'1 lentelė'!$B142</f>
        <v>3.1.2.1.1</v>
      </c>
      <c r="C143" s="35" t="str">
        <f>'1 lentelė'!$C142</f>
        <v>R097725-240000-3106</v>
      </c>
      <c r="D143" s="35" t="str">
        <f>'1 lentelė'!$D142</f>
        <v xml:space="preserve">Vaikų ir jaunimo neformalaus ugdymosi galimybių plėtra Anykščių kūno kultūros ir sporto centrui priklausančiuose A. Vienuolio progimnazijos patalpose </v>
      </c>
      <c r="E143" s="35" t="s">
        <v>65</v>
      </c>
      <c r="F143" s="159" t="s">
        <v>986</v>
      </c>
      <c r="G143" s="347" t="str">
        <f>'2 lentelė'!E142</f>
        <v>P.N.723</v>
      </c>
      <c r="H143" s="32" t="str">
        <f>'2 lentelė'!F142</f>
        <v>Pagal veiksmų programą ERPF lėšomis atnaujinta neformaliojo ugdymo įstaigos</v>
      </c>
      <c r="I143" s="176">
        <f>'2 lentelė'!G142</f>
        <v>1</v>
      </c>
      <c r="J143" s="58">
        <v>1</v>
      </c>
      <c r="K143" s="162">
        <v>0</v>
      </c>
      <c r="L143" s="347" t="str">
        <f>'2 lentelė'!H142</f>
        <v>P.B.235</v>
      </c>
      <c r="M143" s="32" t="str">
        <f>'2 lentelė'!I142</f>
        <v>Investicijas gavusios vaikų priežiūros arba švietimo infrastruktūros pajėgumas</v>
      </c>
      <c r="N143" s="176">
        <f>'2 lentelė'!J142</f>
        <v>355</v>
      </c>
      <c r="O143" s="32">
        <v>355</v>
      </c>
      <c r="P143" s="134">
        <v>0</v>
      </c>
      <c r="Q143" s="135"/>
      <c r="R143" s="29"/>
      <c r="S143" s="29"/>
      <c r="T143" s="56"/>
      <c r="U143" s="160"/>
      <c r="V143" s="137"/>
      <c r="W143" s="37"/>
      <c r="X143" s="29"/>
      <c r="Y143" s="29"/>
      <c r="Z143" s="136"/>
      <c r="AA143" s="138"/>
      <c r="AB143" s="54"/>
      <c r="AC143" s="54"/>
      <c r="AD143" s="74"/>
      <c r="AE143" s="149"/>
      <c r="AF143" s="138"/>
      <c r="AG143" s="54"/>
      <c r="AH143" s="54"/>
      <c r="AI143" s="74"/>
      <c r="AJ143" s="149"/>
      <c r="AK143" s="6"/>
    </row>
    <row r="144" spans="2:37" ht="93.75" customHeight="1" x14ac:dyDescent="0.25">
      <c r="B144" s="35" t="str">
        <f>'1 lentelė'!$B143</f>
        <v xml:space="preserve">3.1.2.1.2 </v>
      </c>
      <c r="C144" s="35" t="str">
        <f>'1 lentelė'!$C143</f>
        <v>R097725-243200-3107</v>
      </c>
      <c r="D144" s="35" t="str">
        <f>'1 lentelė'!$D143</f>
        <v>Zarasų sporto centro erdvių atnaujinimas</v>
      </c>
      <c r="E144" s="35" t="s">
        <v>30</v>
      </c>
      <c r="F144" s="159" t="s">
        <v>987</v>
      </c>
      <c r="G144" s="347" t="str">
        <f>'2 lentelė'!E143</f>
        <v>P.N.723</v>
      </c>
      <c r="H144" s="32" t="str">
        <f>'2 lentelė'!F143</f>
        <v>Pagal veiksmų programą ERPF lėšomis atnaujinta neformaliojo ugdymo įstaigos</v>
      </c>
      <c r="I144" s="176">
        <f>'2 lentelė'!G143</f>
        <v>1</v>
      </c>
      <c r="J144" s="58">
        <v>1</v>
      </c>
      <c r="K144" s="162">
        <v>0</v>
      </c>
      <c r="L144" s="347" t="str">
        <f>'2 lentelė'!H143</f>
        <v>P.B.235</v>
      </c>
      <c r="M144" s="32" t="str">
        <f>'2 lentelė'!I143</f>
        <v>Investicijas gavusios vaikų priežiūros arba švietimo infrastruktūros pajėgumas</v>
      </c>
      <c r="N144" s="176">
        <f>'2 lentelė'!J143</f>
        <v>330</v>
      </c>
      <c r="O144" s="58">
        <v>330</v>
      </c>
      <c r="P144" s="162">
        <v>0</v>
      </c>
      <c r="Q144" s="135"/>
      <c r="R144" s="29"/>
      <c r="S144" s="29"/>
      <c r="T144" s="56"/>
      <c r="U144" s="160"/>
      <c r="V144" s="137"/>
      <c r="W144" s="37"/>
      <c r="X144" s="29"/>
      <c r="Y144" s="29"/>
      <c r="Z144" s="136"/>
      <c r="AA144" s="138"/>
      <c r="AB144" s="54"/>
      <c r="AC144" s="54"/>
      <c r="AD144" s="74"/>
      <c r="AE144" s="149"/>
      <c r="AF144" s="138"/>
      <c r="AG144" s="54"/>
      <c r="AH144" s="54"/>
      <c r="AI144" s="74"/>
      <c r="AJ144" s="149"/>
      <c r="AK144" s="6"/>
    </row>
    <row r="145" spans="2:37" ht="57" customHeight="1" x14ac:dyDescent="0.25">
      <c r="B145" s="67" t="str">
        <f>'1 lentelė'!$B144</f>
        <v xml:space="preserve">3.2 </v>
      </c>
      <c r="C145" s="67"/>
      <c r="D145" s="67" t="str">
        <f>'1 lentelė'!$D144</f>
        <v>Tikslas: Viešųjų paslaugų prieinamumo didinimas</v>
      </c>
      <c r="E145" s="67"/>
      <c r="F145" s="154"/>
      <c r="G145" s="67"/>
      <c r="H145" s="67"/>
      <c r="I145" s="67"/>
      <c r="J145" s="67"/>
      <c r="K145" s="154"/>
      <c r="L145" s="67"/>
      <c r="M145" s="67"/>
      <c r="N145" s="67"/>
      <c r="O145" s="67"/>
      <c r="P145" s="154"/>
      <c r="Q145" s="67"/>
      <c r="R145" s="67"/>
      <c r="S145" s="67"/>
      <c r="T145" s="67"/>
      <c r="U145" s="172"/>
      <c r="V145" s="67"/>
      <c r="W145" s="67"/>
      <c r="X145" s="67"/>
      <c r="Y145" s="51"/>
      <c r="Z145" s="154"/>
      <c r="AA145" s="67"/>
      <c r="AB145" s="67"/>
      <c r="AC145" s="67"/>
      <c r="AD145" s="51"/>
      <c r="AE145" s="154"/>
      <c r="AF145" s="67"/>
      <c r="AG145" s="67"/>
      <c r="AH145" s="67"/>
      <c r="AI145" s="51"/>
      <c r="AJ145" s="154"/>
      <c r="AK145" s="6"/>
    </row>
    <row r="146" spans="2:37" ht="78" customHeight="1" x14ac:dyDescent="0.25">
      <c r="B146" s="71" t="str">
        <f>'1 lentelė'!$B145</f>
        <v>3.2.1</v>
      </c>
      <c r="C146" s="71"/>
      <c r="D146" s="70" t="str">
        <f>'1 lentelė'!$D145</f>
        <v>Uždavinys: Užtikrinti kokybišką ir prieinamą sveikatos priežiūrą</v>
      </c>
      <c r="E146" s="71"/>
      <c r="F146" s="151"/>
      <c r="G146" s="71"/>
      <c r="H146" s="71"/>
      <c r="I146" s="71"/>
      <c r="J146" s="71"/>
      <c r="K146" s="151"/>
      <c r="L146" s="71"/>
      <c r="M146" s="71"/>
      <c r="N146" s="71"/>
      <c r="O146" s="71"/>
      <c r="P146" s="151"/>
      <c r="Q146" s="71"/>
      <c r="R146" s="71"/>
      <c r="S146" s="71"/>
      <c r="T146" s="71"/>
      <c r="U146" s="174"/>
      <c r="V146" s="71"/>
      <c r="W146" s="71"/>
      <c r="X146" s="71"/>
      <c r="Y146" s="48"/>
      <c r="Z146" s="151"/>
      <c r="AA146" s="71"/>
      <c r="AB146" s="71"/>
      <c r="AC146" s="71"/>
      <c r="AD146" s="48"/>
      <c r="AE146" s="151"/>
      <c r="AF146" s="71"/>
      <c r="AG146" s="71"/>
      <c r="AH146" s="71"/>
      <c r="AI146" s="48"/>
      <c r="AJ146" s="151"/>
      <c r="AK146" s="6"/>
    </row>
    <row r="147" spans="2:37" ht="96.75" customHeight="1" x14ac:dyDescent="0.25">
      <c r="B147" s="60" t="str">
        <f>'1 lentelė'!$B146</f>
        <v>3.2.1.1</v>
      </c>
      <c r="C147" s="60"/>
      <c r="D147" s="91" t="str">
        <f>'1 lentelė'!$D146</f>
        <v>Priemonė: Pirminės asmens ir visuomenės sveikatos priežiūros veiklos efektyvumo didinimas</v>
      </c>
      <c r="E147" s="60"/>
      <c r="F147" s="152"/>
      <c r="G147" s="60"/>
      <c r="H147" s="60"/>
      <c r="I147" s="60"/>
      <c r="J147" s="60"/>
      <c r="K147" s="152"/>
      <c r="L147" s="60"/>
      <c r="M147" s="60"/>
      <c r="N147" s="60"/>
      <c r="O147" s="60"/>
      <c r="P147" s="152"/>
      <c r="Q147" s="60"/>
      <c r="R147" s="60"/>
      <c r="S147" s="60"/>
      <c r="T147" s="60"/>
      <c r="U147" s="166"/>
      <c r="V147" s="60"/>
      <c r="W147" s="60"/>
      <c r="X147" s="60"/>
      <c r="Y147" s="50"/>
      <c r="Z147" s="152"/>
      <c r="AA147" s="60"/>
      <c r="AB147" s="60"/>
      <c r="AC147" s="60"/>
      <c r="AD147" s="50"/>
      <c r="AE147" s="152"/>
      <c r="AF147" s="60"/>
      <c r="AG147" s="60"/>
      <c r="AH147" s="60"/>
      <c r="AI147" s="50"/>
      <c r="AJ147" s="152"/>
      <c r="AK147" s="6"/>
    </row>
    <row r="148" spans="2:37" ht="191.25" x14ac:dyDescent="0.25">
      <c r="B148" s="35" t="str">
        <f>'1 lentelė'!$B147</f>
        <v>3.2.1.1.1</v>
      </c>
      <c r="C148" s="35" t="str">
        <f>'1 lentelė'!$C147</f>
        <v>R096609-270000-3236</v>
      </c>
      <c r="D148" s="35" t="str">
        <f>'1 lentelė'!$D147</f>
        <v>Anykščių rajono savivaldybės gyventojų sveikatos stiprinimas gerinant pirminės sveikatos priežiūros paslaugų prieinamumą ir kokybę</v>
      </c>
      <c r="E148" s="39" t="s">
        <v>66</v>
      </c>
      <c r="F148" s="132" t="s">
        <v>988</v>
      </c>
      <c r="G148" s="347" t="str">
        <f>'2 lentelė'!E147</f>
        <v>P.B.236</v>
      </c>
      <c r="H148" s="32" t="str">
        <f>'2 lentelė'!F147</f>
        <v>Gyventojai, turintys galimybę pasinaudoti pagerintomis sveikatos priežiūros paslaugomis</v>
      </c>
      <c r="I148" s="176">
        <f>'2 lentelė'!G147</f>
        <v>21285</v>
      </c>
      <c r="J148" s="58">
        <v>21285</v>
      </c>
      <c r="K148" s="162">
        <v>0</v>
      </c>
      <c r="L148" s="347" t="str">
        <f>'2 lentelė'!H147</f>
        <v>P.S.363</v>
      </c>
      <c r="M148" s="32" t="str">
        <f>'2 lentelė'!I147</f>
        <v>Viešąsias sveikatos priežiūros paslaugas teikiančių asmens sveikatos priežiūros įstaigų, kuriose modernizuota paslaugų teikimo infrastruktūra, skaičius</v>
      </c>
      <c r="N148" s="176">
        <f>'2 lentelė'!J147</f>
        <v>1</v>
      </c>
      <c r="O148" s="58">
        <v>1</v>
      </c>
      <c r="P148" s="162">
        <v>0</v>
      </c>
      <c r="Q148" s="135"/>
      <c r="R148" s="29"/>
      <c r="S148" s="29"/>
      <c r="T148" s="62"/>
      <c r="U148" s="181"/>
      <c r="V148" s="137"/>
      <c r="W148" s="37"/>
      <c r="X148" s="29"/>
      <c r="Y148" s="35"/>
      <c r="Z148" s="182"/>
      <c r="AA148" s="138"/>
      <c r="AB148" s="54"/>
      <c r="AC148" s="54"/>
      <c r="AD148" s="74"/>
      <c r="AE148" s="149"/>
      <c r="AF148" s="138"/>
      <c r="AG148" s="54"/>
      <c r="AH148" s="54"/>
      <c r="AI148" s="74"/>
      <c r="AJ148" s="149"/>
      <c r="AK148" s="6"/>
    </row>
    <row r="149" spans="2:37" ht="191.25" x14ac:dyDescent="0.25">
      <c r="B149" s="35" t="str">
        <f>'1 lentelė'!$B148</f>
        <v>3.2.1.1.2</v>
      </c>
      <c r="C149" s="35" t="str">
        <f>'1 lentelė'!$C148</f>
        <v>R096609-270000-3237</v>
      </c>
      <c r="D149" s="35" t="str">
        <f>'1 lentelė'!$D148</f>
        <v>Pirminės sveikatos paslaugų gerinimas VšĮ Ignalinos rajono poliklinikoje</v>
      </c>
      <c r="E149" s="39" t="s">
        <v>66</v>
      </c>
      <c r="F149" s="132" t="s">
        <v>1188</v>
      </c>
      <c r="G149" s="347" t="str">
        <f>'2 lentelė'!E148</f>
        <v>P.B.236</v>
      </c>
      <c r="H149" s="32" t="str">
        <f>'2 lentelė'!F148</f>
        <v>Gyventojai, turintys galimybę pasinaudoti pagerintomis sveikatos priežiūros paslaugomis</v>
      </c>
      <c r="I149" s="176">
        <f>'2 lentelė'!G148</f>
        <v>6931</v>
      </c>
      <c r="J149" s="58">
        <v>6931</v>
      </c>
      <c r="K149" s="162">
        <v>0</v>
      </c>
      <c r="L149" s="347" t="str">
        <f>'2 lentelė'!H148</f>
        <v>P.S.363</v>
      </c>
      <c r="M149" s="32" t="str">
        <f>'2 lentelė'!I148</f>
        <v>Viešąsias sveikatos priežiūros paslaugas teikiančių asmens sveikatos priežiūros įstaigų, kuriose modernizuota paslaugų teikimo infrastruktūra, skaičius</v>
      </c>
      <c r="N149" s="176">
        <f>'2 lentelė'!J148</f>
        <v>1</v>
      </c>
      <c r="O149" s="58">
        <v>1</v>
      </c>
      <c r="P149" s="162">
        <v>0</v>
      </c>
      <c r="Q149" s="135"/>
      <c r="R149" s="29"/>
      <c r="S149" s="289"/>
      <c r="T149" s="58"/>
      <c r="U149" s="162"/>
      <c r="V149" s="137"/>
      <c r="W149" s="37"/>
      <c r="X149" s="29"/>
      <c r="Y149" s="32"/>
      <c r="Z149" s="134"/>
      <c r="AA149" s="138"/>
      <c r="AB149" s="54"/>
      <c r="AC149" s="54"/>
      <c r="AD149" s="74"/>
      <c r="AE149" s="149"/>
      <c r="AF149" s="138"/>
      <c r="AG149" s="54"/>
      <c r="AH149" s="54"/>
      <c r="AI149" s="74"/>
      <c r="AJ149" s="149"/>
      <c r="AK149" s="6"/>
    </row>
    <row r="150" spans="2:37" ht="191.25" x14ac:dyDescent="0.25">
      <c r="B150" s="35" t="str">
        <f>'1 lentelė'!$B149</f>
        <v>3.2.1.1.3</v>
      </c>
      <c r="C150" s="35" t="str">
        <f>'1 lentelė'!$C149</f>
        <v>R096609-270000-3238</v>
      </c>
      <c r="D150" s="35" t="str">
        <f>'1 lentelė'!$D149</f>
        <v>UAB „Ignalinos sveikatos centras“ pirminės asmens sveikatos priežiūros paslaugų teikimo efektyvumo didinimas</v>
      </c>
      <c r="E150" s="39" t="s">
        <v>66</v>
      </c>
      <c r="F150" s="132" t="s">
        <v>989</v>
      </c>
      <c r="G150" s="347" t="str">
        <f>'2 lentelė'!E149</f>
        <v>P.B.236</v>
      </c>
      <c r="H150" s="32" t="str">
        <f>'2 lentelė'!F149</f>
        <v>Gyventojai, turintys galimybę pasinaudoti pagerintomis sveikatos priežiūros paslaugomis</v>
      </c>
      <c r="I150" s="176">
        <f>'2 lentelė'!G149</f>
        <v>6363</v>
      </c>
      <c r="J150" s="58">
        <v>6819</v>
      </c>
      <c r="K150" s="162">
        <v>6393</v>
      </c>
      <c r="L150" s="347" t="str">
        <f>'2 lentelė'!H149</f>
        <v>P.S.363</v>
      </c>
      <c r="M150" s="32" t="str">
        <f>'2 lentelė'!I149</f>
        <v>Viešąsias sveikatos priežiūros paslaugas teikiančių asmens sveikatos priežiūros įstaigų, kuriose modernizuota paslaugų teikimo infrastruktūra, skaičius</v>
      </c>
      <c r="N150" s="176">
        <f>'2 lentelė'!J149</f>
        <v>1</v>
      </c>
      <c r="O150" s="58">
        <v>1</v>
      </c>
      <c r="P150" s="162">
        <v>1</v>
      </c>
      <c r="Q150" s="135"/>
      <c r="R150" s="29"/>
      <c r="S150" s="29"/>
      <c r="T150" s="58"/>
      <c r="U150" s="162"/>
      <c r="V150" s="137"/>
      <c r="W150" s="37"/>
      <c r="X150" s="29"/>
      <c r="Y150" s="32"/>
      <c r="Z150" s="134"/>
      <c r="AA150" s="138"/>
      <c r="AB150" s="54"/>
      <c r="AC150" s="54"/>
      <c r="AD150" s="74"/>
      <c r="AE150" s="149"/>
      <c r="AF150" s="138"/>
      <c r="AG150" s="54"/>
      <c r="AH150" s="54"/>
      <c r="AI150" s="74"/>
      <c r="AJ150" s="149"/>
      <c r="AK150" s="6"/>
    </row>
    <row r="151" spans="2:37" ht="191.25" x14ac:dyDescent="0.25">
      <c r="B151" s="35" t="str">
        <f>'1 lentelė'!$B150</f>
        <v>3.2.1.1.4</v>
      </c>
      <c r="C151" s="35" t="str">
        <f>'1 lentelė'!$C150</f>
        <v>R096609-270000-3239</v>
      </c>
      <c r="D151" s="35" t="str">
        <f>'1 lentelė'!$D150</f>
        <v>Molėtų r. pirminės sveikatos priežiūros centro veiklos efektyvumo didinimas</v>
      </c>
      <c r="E151" s="39" t="s">
        <v>66</v>
      </c>
      <c r="F151" s="169" t="s">
        <v>990</v>
      </c>
      <c r="G151" s="347" t="str">
        <f>'2 lentelė'!E150</f>
        <v>P.B.236</v>
      </c>
      <c r="H151" s="32" t="str">
        <f>'2 lentelė'!F150</f>
        <v>Gyventojai, turintys galimybę pasinaudoti pagerintomis sveikatos priežiūros paslaugomis</v>
      </c>
      <c r="I151" s="176">
        <f>'2 lentelė'!G150</f>
        <v>15617</v>
      </c>
      <c r="J151" s="58">
        <v>15617</v>
      </c>
      <c r="K151" s="162">
        <v>0</v>
      </c>
      <c r="L151" s="347" t="str">
        <f>'2 lentelė'!H150</f>
        <v>P.S.363</v>
      </c>
      <c r="M151" s="32" t="str">
        <f>'2 lentelė'!I150</f>
        <v>Viešąsias sveikatos priežiūros paslaugas teikiančių asmens sveikatos priežiūros įstaigų, kuriose modernizuota paslaugų teikimo infrastruktūra, skaičius</v>
      </c>
      <c r="N151" s="176">
        <f>'2 lentelė'!J150</f>
        <v>1</v>
      </c>
      <c r="O151" s="58">
        <v>1</v>
      </c>
      <c r="P151" s="162">
        <v>0</v>
      </c>
      <c r="Q151" s="135"/>
      <c r="R151" s="29"/>
      <c r="S151" s="29"/>
      <c r="T151" s="58"/>
      <c r="U151" s="162"/>
      <c r="V151" s="137"/>
      <c r="W151" s="37"/>
      <c r="X151" s="29"/>
      <c r="Y151" s="32"/>
      <c r="Z151" s="134"/>
      <c r="AA151" s="138"/>
      <c r="AB151" s="54"/>
      <c r="AC151" s="54"/>
      <c r="AD151" s="74"/>
      <c r="AE151" s="149"/>
      <c r="AF151" s="138"/>
      <c r="AG151" s="54"/>
      <c r="AH151" s="54"/>
      <c r="AI151" s="74"/>
      <c r="AJ151" s="149"/>
      <c r="AK151" s="6"/>
    </row>
    <row r="152" spans="2:37" ht="191.25" x14ac:dyDescent="0.25">
      <c r="B152" s="35" t="str">
        <f>'1 lentelė'!$B151</f>
        <v>3.2.1.1.5</v>
      </c>
      <c r="C152" s="35" t="str">
        <f>'1 lentelė'!$C151</f>
        <v>R096609-270000-3240</v>
      </c>
      <c r="D152" s="35" t="str">
        <f>'1 lentelė'!$D151</f>
        <v>Pirminės asmens sveikatos priežiūros veiklos efektyvumo didinimas Utenos rajone</v>
      </c>
      <c r="E152" s="39" t="s">
        <v>66</v>
      </c>
      <c r="F152" s="132" t="s">
        <v>991</v>
      </c>
      <c r="G152" s="347" t="str">
        <f>'2 lentelė'!E151</f>
        <v>P.B.236</v>
      </c>
      <c r="H152" s="32" t="str">
        <f>'2 lentelė'!F151</f>
        <v>Gyventojai, turintys galimybę pasinaudoti pagerintomis sveikatos priežiūros paslaugomis</v>
      </c>
      <c r="I152" s="176">
        <f>'2 lentelė'!G151</f>
        <v>19722</v>
      </c>
      <c r="J152" s="58">
        <v>19722</v>
      </c>
      <c r="K152" s="162">
        <v>0</v>
      </c>
      <c r="L152" s="347" t="str">
        <f>'2 lentelė'!H151</f>
        <v>P.S.363</v>
      </c>
      <c r="M152" s="32" t="str">
        <f>'2 lentelė'!I151</f>
        <v>Viešąsias sveikatos priežiūros paslaugas teikiančių asmens sveikatos priežiūros įstaigų, kuriose modernizuota paslaugų teikimo infrastruktūra, skaičius</v>
      </c>
      <c r="N152" s="176">
        <f>'2 lentelė'!J151</f>
        <v>1</v>
      </c>
      <c r="O152" s="58">
        <v>1</v>
      </c>
      <c r="P152" s="162">
        <v>0</v>
      </c>
      <c r="Q152" s="135"/>
      <c r="R152" s="29"/>
      <c r="S152" s="29"/>
      <c r="T152" s="58"/>
      <c r="U152" s="162"/>
      <c r="V152" s="137"/>
      <c r="W152" s="37"/>
      <c r="X152" s="29"/>
      <c r="Y152" s="32"/>
      <c r="Z152" s="134"/>
      <c r="AA152" s="138"/>
      <c r="AB152" s="54"/>
      <c r="AC152" s="54"/>
      <c r="AD152" s="74"/>
      <c r="AE152" s="149"/>
      <c r="AF152" s="138"/>
      <c r="AG152" s="54"/>
      <c r="AH152" s="54"/>
      <c r="AI152" s="74"/>
      <c r="AJ152" s="149"/>
      <c r="AK152" s="6"/>
    </row>
    <row r="153" spans="2:37" ht="191.25" x14ac:dyDescent="0.25">
      <c r="B153" s="35" t="str">
        <f>'1 lentelė'!$B152</f>
        <v>3.2.1.1.6</v>
      </c>
      <c r="C153" s="35" t="str">
        <f>'1 lentelė'!$C152</f>
        <v>R096609-270000-3241</v>
      </c>
      <c r="D153" s="35" t="str">
        <f>'1 lentelė'!$D152</f>
        <v>UAB "Dilina" teikiamų paslaugų efektyvumo didinimas</v>
      </c>
      <c r="E153" s="39" t="s">
        <v>66</v>
      </c>
      <c r="F153" s="169" t="s">
        <v>992</v>
      </c>
      <c r="G153" s="347" t="str">
        <f>'2 lentelė'!E152</f>
        <v>P.B.236</v>
      </c>
      <c r="H153" s="32" t="str">
        <f>'2 lentelė'!F152</f>
        <v>Gyventojai, turintys galimybę pasinaudoti pagerintomis sveikatos priežiūros paslaugomis</v>
      </c>
      <c r="I153" s="176">
        <f>'2 lentelė'!G152</f>
        <v>1615</v>
      </c>
      <c r="J153" s="58">
        <v>1455</v>
      </c>
      <c r="K153" s="162">
        <v>1615</v>
      </c>
      <c r="L153" s="347" t="str">
        <f>'2 lentelė'!H152</f>
        <v>P.S.363</v>
      </c>
      <c r="M153" s="32" t="str">
        <f>'2 lentelė'!I152</f>
        <v>Viešąsias sveikatos priežiūros paslaugas teikiančių asmens sveikatos priežiūros įstaigų, kuriose modernizuota paslaugų teikimo infrastruktūra, skaičius</v>
      </c>
      <c r="N153" s="176">
        <f>'2 lentelė'!J152</f>
        <v>1</v>
      </c>
      <c r="O153" s="58">
        <v>1</v>
      </c>
      <c r="P153" s="162">
        <v>1</v>
      </c>
      <c r="Q153" s="135"/>
      <c r="R153" s="29"/>
      <c r="S153" s="29"/>
      <c r="T153" s="58"/>
      <c r="U153" s="162"/>
      <c r="V153" s="137"/>
      <c r="W153" s="37"/>
      <c r="X153" s="29"/>
      <c r="Y153" s="32"/>
      <c r="Z153" s="134"/>
      <c r="AA153" s="138"/>
      <c r="AB153" s="54"/>
      <c r="AC153" s="54"/>
      <c r="AD153" s="74"/>
      <c r="AE153" s="149"/>
      <c r="AF153" s="138"/>
      <c r="AG153" s="54"/>
      <c r="AH153" s="54"/>
      <c r="AI153" s="74"/>
      <c r="AJ153" s="149"/>
      <c r="AK153" s="6"/>
    </row>
    <row r="154" spans="2:37" ht="191.25" x14ac:dyDescent="0.25">
      <c r="B154" s="35" t="str">
        <f>'1 lentelė'!$B153</f>
        <v>3.2.1.1.7</v>
      </c>
      <c r="C154" s="35" t="str">
        <f>'1 lentelė'!$C153</f>
        <v>R096609-270000-3242</v>
      </c>
      <c r="D154" s="35" t="str">
        <f>'1 lentelė'!$D153</f>
        <v>Pirminės asmens sveikatos priežiūros paslaugų kokybės ir prieinamumo gerinimas Zarasų rajono savivaldybėje</v>
      </c>
      <c r="E154" s="39" t="s">
        <v>66</v>
      </c>
      <c r="F154" s="169" t="s">
        <v>993</v>
      </c>
      <c r="G154" s="347" t="str">
        <f>'2 lentelė'!E153</f>
        <v>P.B.236</v>
      </c>
      <c r="H154" s="32" t="str">
        <f>'2 lentelė'!F153</f>
        <v>Gyventojai, turintys galimybę pasinaudoti pagerintomis sveikatos priežiūros paslaugomis</v>
      </c>
      <c r="I154" s="176">
        <f>'2 lentelė'!G153</f>
        <v>13690</v>
      </c>
      <c r="J154" s="58">
        <v>13690</v>
      </c>
      <c r="K154" s="162">
        <v>0</v>
      </c>
      <c r="L154" s="347" t="str">
        <f>'2 lentelė'!H153</f>
        <v>P.S.363</v>
      </c>
      <c r="M154" s="32" t="str">
        <f>'2 lentelė'!I153</f>
        <v>Viešąsias sveikatos priežiūros paslaugas teikiančių asmens sveikatos priežiūros įstaigų, kuriose modernizuota paslaugų teikimo infrastruktūra, skaičius</v>
      </c>
      <c r="N154" s="176">
        <f>'2 lentelė'!J153</f>
        <v>1</v>
      </c>
      <c r="O154" s="58">
        <v>1</v>
      </c>
      <c r="P154" s="162">
        <v>0</v>
      </c>
      <c r="Q154" s="135"/>
      <c r="R154" s="29"/>
      <c r="S154" s="29"/>
      <c r="T154" s="58"/>
      <c r="U154" s="162"/>
      <c r="V154" s="137"/>
      <c r="W154" s="37"/>
      <c r="X154" s="29"/>
      <c r="Y154" s="32"/>
      <c r="Z154" s="134"/>
      <c r="AA154" s="138"/>
      <c r="AB154" s="54"/>
      <c r="AC154" s="54"/>
      <c r="AD154" s="74"/>
      <c r="AE154" s="149"/>
      <c r="AF154" s="138"/>
      <c r="AG154" s="54"/>
      <c r="AH154" s="54"/>
      <c r="AI154" s="74"/>
      <c r="AJ154" s="149"/>
      <c r="AK154" s="6"/>
    </row>
    <row r="155" spans="2:37" ht="191.25" x14ac:dyDescent="0.25">
      <c r="B155" s="35" t="str">
        <f>'1 lentelė'!$B154</f>
        <v>3.2.1.1.8</v>
      </c>
      <c r="C155" s="35" t="str">
        <f>'1 lentelė'!$C154</f>
        <v>R096609-270000-3243</v>
      </c>
      <c r="D155" s="35" t="str">
        <f>'1 lentelė'!$D154</f>
        <v>Pirminės asmens sveikatos priežiūros veiklos efektyvumo didinimas VšĮ Visagino  pirminės sveikatos priežiūros centre</v>
      </c>
      <c r="E155" s="39" t="s">
        <v>66</v>
      </c>
      <c r="F155" s="132" t="s">
        <v>994</v>
      </c>
      <c r="G155" s="347" t="str">
        <f>'2 lentelė'!E154</f>
        <v>P.B.236</v>
      </c>
      <c r="H155" s="32" t="str">
        <f>'2 lentelė'!F154</f>
        <v>Gyventojai, turintys galimybę pasinaudoti pagerintomis sveikatos priežiūros paslaugomis</v>
      </c>
      <c r="I155" s="176">
        <f>'2 lentelė'!G154</f>
        <v>12890</v>
      </c>
      <c r="J155" s="58">
        <v>12890</v>
      </c>
      <c r="K155" s="162">
        <v>0</v>
      </c>
      <c r="L155" s="347" t="str">
        <f>'2 lentelė'!H154</f>
        <v>P.S.363</v>
      </c>
      <c r="M155" s="32" t="str">
        <f>'2 lentelė'!I154</f>
        <v>Viešąsias sveikatos priežiūros paslaugas teikiančių asmens sveikatos priežiūros įstaigų, kuriose modernizuota paslaugų teikimo infrastruktūra, skaičius</v>
      </c>
      <c r="N155" s="176">
        <f>'2 lentelė'!J154</f>
        <v>1</v>
      </c>
      <c r="O155" s="58">
        <v>1</v>
      </c>
      <c r="P155" s="162">
        <v>0</v>
      </c>
      <c r="Q155" s="135"/>
      <c r="R155" s="29"/>
      <c r="S155" s="29"/>
      <c r="T155" s="58"/>
      <c r="U155" s="162"/>
      <c r="V155" s="137"/>
      <c r="W155" s="37"/>
      <c r="X155" s="29"/>
      <c r="Y155" s="32"/>
      <c r="Z155" s="134"/>
      <c r="AA155" s="138"/>
      <c r="AB155" s="54"/>
      <c r="AC155" s="54"/>
      <c r="AD155" s="74"/>
      <c r="AE155" s="149"/>
      <c r="AF155" s="138"/>
      <c r="AG155" s="54"/>
      <c r="AH155" s="54"/>
      <c r="AI155" s="74"/>
      <c r="AJ155" s="149"/>
      <c r="AK155" s="6"/>
    </row>
    <row r="156" spans="2:37" ht="104.25" customHeight="1" x14ac:dyDescent="0.25">
      <c r="B156" s="35" t="str">
        <f>'1 lentelė'!$B155</f>
        <v>3.2.1.1.9</v>
      </c>
      <c r="C156" s="35" t="str">
        <f>'1 lentelė'!$C155</f>
        <v>R096609-270000-3244</v>
      </c>
      <c r="D156" s="35" t="str">
        <f>'1 lentelė'!$D155</f>
        <v>Asmens sveikatos priežiūros  kokybės gerinimas Utenos rajono gyventojams</v>
      </c>
      <c r="E156" s="39" t="s">
        <v>66</v>
      </c>
      <c r="F156" s="132" t="s">
        <v>66</v>
      </c>
      <c r="G156" s="347" t="str">
        <f>'2 lentelė'!E155</f>
        <v>P.B.236</v>
      </c>
      <c r="H156" s="32" t="str">
        <f>'2 lentelė'!F155</f>
        <v>Gyventojai, turintys galimybę pasinaudoti pagerintomis sveikatos priežiūros paslaugomis</v>
      </c>
      <c r="I156" s="176">
        <f>'2 lentelė'!G155</f>
        <v>1576</v>
      </c>
      <c r="J156" s="58">
        <v>0</v>
      </c>
      <c r="K156" s="162">
        <v>0</v>
      </c>
      <c r="L156" s="347" t="str">
        <f>'2 lentelė'!H155</f>
        <v>P.S.363</v>
      </c>
      <c r="M156" s="32" t="str">
        <f>'2 lentelė'!I155</f>
        <v>Viešąsias sveikatos priežiūros paslaugas teikiančių asmens sveikatos priežiūros įstaigų, kuriose modernizuota paslaugų teikimo infrastruktūra, skaičius</v>
      </c>
      <c r="N156" s="176">
        <f>'2 lentelė'!J155</f>
        <v>1</v>
      </c>
      <c r="O156" s="58">
        <v>0</v>
      </c>
      <c r="P156" s="162">
        <v>0</v>
      </c>
      <c r="Q156" s="283"/>
      <c r="R156" s="29"/>
      <c r="S156" s="29"/>
      <c r="T156" s="58"/>
      <c r="U156" s="162"/>
      <c r="V156" s="296"/>
      <c r="W156" s="37"/>
      <c r="X156" s="29"/>
      <c r="Y156" s="32"/>
      <c r="Z156" s="134"/>
      <c r="AA156" s="284"/>
      <c r="AB156" s="54"/>
      <c r="AC156" s="54"/>
      <c r="AD156" s="74"/>
      <c r="AE156" s="149"/>
      <c r="AF156" s="284"/>
      <c r="AG156" s="54"/>
      <c r="AH156" s="54"/>
      <c r="AI156" s="74"/>
      <c r="AJ156" s="149"/>
      <c r="AK156" s="6"/>
    </row>
    <row r="157" spans="2:37" ht="147" customHeight="1" x14ac:dyDescent="0.25">
      <c r="B157" s="60" t="str">
        <f>'1 lentelė'!$B156</f>
        <v>3.2.1.2</v>
      </c>
      <c r="C157" s="60"/>
      <c r="D157" s="91" t="str">
        <f>'1 lentelė'!$D156</f>
        <v>Priemonė: Priemonių, gerinančių ambulatorinių sveikatos priežiūros paslaugų prieinamumą tuberkulioze sergantiems asmenims, įgyvendinimas</v>
      </c>
      <c r="E157" s="60"/>
      <c r="F157" s="152"/>
      <c r="G157" s="60"/>
      <c r="H157" s="60"/>
      <c r="I157" s="60"/>
      <c r="J157" s="60"/>
      <c r="K157" s="152"/>
      <c r="L157" s="60"/>
      <c r="M157" s="60"/>
      <c r="N157" s="60"/>
      <c r="O157" s="60"/>
      <c r="P157" s="152"/>
      <c r="Q157" s="60"/>
      <c r="R157" s="60"/>
      <c r="S157" s="60"/>
      <c r="T157" s="60"/>
      <c r="U157" s="166"/>
      <c r="V157" s="60"/>
      <c r="W157" s="60"/>
      <c r="X157" s="60"/>
      <c r="Y157" s="50"/>
      <c r="Z157" s="152"/>
      <c r="AA157" s="60"/>
      <c r="AB157" s="60"/>
      <c r="AC157" s="60"/>
      <c r="AD157" s="50"/>
      <c r="AE157" s="152"/>
      <c r="AF157" s="60"/>
      <c r="AG157" s="60"/>
      <c r="AH157" s="60"/>
      <c r="AI157" s="50"/>
      <c r="AJ157" s="152"/>
      <c r="AK157" s="6"/>
    </row>
    <row r="158" spans="2:37" ht="228.75" customHeight="1" x14ac:dyDescent="0.25">
      <c r="B158" s="35" t="str">
        <f>'1 lentelė'!$B157</f>
        <v>3.2.1.2.1</v>
      </c>
      <c r="C158" s="35" t="str">
        <f>'1 lentelė'!$C157</f>
        <v>R096615-470000-3201</v>
      </c>
      <c r="D158" s="35" t="str">
        <f>'1 lentelė'!$D157</f>
        <v>Tuberkuliozės gydymo skatinimas Anykščių rajono
savivaldybėje</v>
      </c>
      <c r="E158" s="39" t="s">
        <v>66</v>
      </c>
      <c r="F158" s="169" t="s">
        <v>995</v>
      </c>
      <c r="G158" s="347" t="str">
        <f>'2 lentelė'!E157</f>
        <v>P.N.604</v>
      </c>
      <c r="H158" s="32" t="str">
        <f>'2 lentelė'!F157</f>
        <v>,,Tuberkulioze sergantys pacientai, kuriems buvo suteiktos socialinės paramos priemonės (maisto talonų dalijimas ir (arba) kelionės išlaidų kompensavimas) tuberkuliozės ambulatorinio gydymo metu“</v>
      </c>
      <c r="I158" s="176">
        <f>'2 lentelė'!G157</f>
        <v>32</v>
      </c>
      <c r="J158" s="58">
        <v>32</v>
      </c>
      <c r="K158" s="162">
        <v>15</v>
      </c>
      <c r="L158" s="133"/>
      <c r="M158" s="32"/>
      <c r="N158" s="32"/>
      <c r="O158" s="56"/>
      <c r="P158" s="160"/>
      <c r="Q158" s="135"/>
      <c r="R158" s="29"/>
      <c r="S158" s="29"/>
      <c r="T158" s="56"/>
      <c r="U158" s="160"/>
      <c r="V158" s="137"/>
      <c r="W158" s="37"/>
      <c r="X158" s="29"/>
      <c r="Y158" s="29"/>
      <c r="Z158" s="136"/>
      <c r="AA158" s="138"/>
      <c r="AB158" s="54"/>
      <c r="AC158" s="54"/>
      <c r="AD158" s="74"/>
      <c r="AE158" s="149"/>
      <c r="AF158" s="138"/>
      <c r="AG158" s="54"/>
      <c r="AH158" s="54"/>
      <c r="AI158" s="74"/>
      <c r="AJ158" s="149"/>
      <c r="AK158" s="6"/>
    </row>
    <row r="159" spans="2:37" ht="231" customHeight="1" x14ac:dyDescent="0.25">
      <c r="B159" s="35" t="str">
        <f>'1 lentelė'!$B158</f>
        <v>3.2.1.2.2</v>
      </c>
      <c r="C159" s="35" t="str">
        <f>'1 lentelė'!$C158</f>
        <v>R096615-470000-3202</v>
      </c>
      <c r="D159" s="35" t="str">
        <f>'1 lentelė'!$D158</f>
        <v>Sergamumo ir mirtingumo mažinimas nuo tuberkuliozės Ignalinos rajone</v>
      </c>
      <c r="E159" s="39" t="s">
        <v>66</v>
      </c>
      <c r="F159" s="169" t="s">
        <v>996</v>
      </c>
      <c r="G159" s="347" t="str">
        <f>'2 lentelė'!E158</f>
        <v>P.N.604</v>
      </c>
      <c r="H159" s="32" t="str">
        <f>'2 lentelė'!F158</f>
        <v>,,Tuberkulioze sergantys pacientai, kuriems buvo suteiktos socialinės paramos priemonės (maisto talonų dalijimas ir (arba) kelionės išlaidų kompensavimas) tuberkuliozės ambulatorinio gydymo metu“</v>
      </c>
      <c r="I159" s="176">
        <f>'2 lentelė'!G158</f>
        <v>15</v>
      </c>
      <c r="J159" s="58">
        <v>15</v>
      </c>
      <c r="K159" s="162">
        <v>2</v>
      </c>
      <c r="L159" s="133"/>
      <c r="M159" s="32"/>
      <c r="N159" s="32"/>
      <c r="O159" s="56"/>
      <c r="P159" s="160"/>
      <c r="Q159" s="135"/>
      <c r="R159" s="29"/>
      <c r="S159" s="29"/>
      <c r="T159" s="56"/>
      <c r="U159" s="160"/>
      <c r="V159" s="137"/>
      <c r="W159" s="37"/>
      <c r="X159" s="29"/>
      <c r="Y159" s="29"/>
      <c r="Z159" s="136"/>
      <c r="AA159" s="138"/>
      <c r="AB159" s="54"/>
      <c r="AC159" s="54"/>
      <c r="AD159" s="74"/>
      <c r="AE159" s="149"/>
      <c r="AF159" s="138"/>
      <c r="AG159" s="54"/>
      <c r="AH159" s="54"/>
      <c r="AI159" s="74"/>
      <c r="AJ159" s="149"/>
      <c r="AK159" s="6"/>
    </row>
    <row r="160" spans="2:37" ht="232.5" customHeight="1" x14ac:dyDescent="0.25">
      <c r="B160" s="35" t="str">
        <f>'1 lentelė'!$B159</f>
        <v>3.2.1.2.3</v>
      </c>
      <c r="C160" s="35" t="str">
        <f>'1 lentelė'!$C159</f>
        <v>R096615-470000-3203</v>
      </c>
      <c r="D160" s="35" t="str">
        <f>'1 lentelė'!$D159</f>
        <v>Paslaugų prieinamumo priemonių tuberkulioze sergantiems asmenims įgyvendinimas  Molėtų rajone</v>
      </c>
      <c r="E160" s="39" t="s">
        <v>66</v>
      </c>
      <c r="F160" s="169" t="s">
        <v>997</v>
      </c>
      <c r="G160" s="347" t="str">
        <f>'2 lentelė'!E159</f>
        <v>P.N.604</v>
      </c>
      <c r="H160" s="32" t="str">
        <f>'2 lentelė'!F159</f>
        <v>,,Tuberkulioze sergantys pacientai, kuriems buvo suteiktos socialinės paramos priemonės (maisto talonų dalijimas ir (arba) kelionės išlaidų kompensavimas) tuberkuliozės ambulatorinio gydymo metu“</v>
      </c>
      <c r="I160" s="176">
        <f>'2 lentelė'!G159</f>
        <v>19</v>
      </c>
      <c r="J160" s="58">
        <v>19</v>
      </c>
      <c r="K160" s="162">
        <v>3</v>
      </c>
      <c r="L160" s="133"/>
      <c r="M160" s="32"/>
      <c r="N160" s="32"/>
      <c r="O160" s="56"/>
      <c r="P160" s="160"/>
      <c r="Q160" s="135"/>
      <c r="R160" s="29"/>
      <c r="S160" s="29"/>
      <c r="T160" s="56"/>
      <c r="U160" s="160"/>
      <c r="V160" s="137"/>
      <c r="W160" s="37"/>
      <c r="X160" s="29"/>
      <c r="Y160" s="29"/>
      <c r="Z160" s="136"/>
      <c r="AA160" s="138"/>
      <c r="AB160" s="54"/>
      <c r="AC160" s="54"/>
      <c r="AD160" s="74"/>
      <c r="AE160" s="149"/>
      <c r="AF160" s="138"/>
      <c r="AG160" s="54"/>
      <c r="AH160" s="54"/>
      <c r="AI160" s="74"/>
      <c r="AJ160" s="149"/>
      <c r="AK160" s="6"/>
    </row>
    <row r="161" spans="2:37" ht="231.75" customHeight="1" x14ac:dyDescent="0.25">
      <c r="B161" s="35" t="str">
        <f>'1 lentelė'!$B160</f>
        <v>3.2.1.2.4</v>
      </c>
      <c r="C161" s="35" t="str">
        <f>'1 lentelė'!$C160</f>
        <v>R096615-470000-3204</v>
      </c>
      <c r="D161" s="35" t="str">
        <f>'1 lentelė'!$D160</f>
        <v>Priemonių, gerinančių ambulatorinių sveikatos priežiūros paslaugų prieinamumą tuberkulioze sergantiems asmenims, įgyvendinimas Utenos rajone</v>
      </c>
      <c r="E161" s="39" t="s">
        <v>66</v>
      </c>
      <c r="F161" s="169" t="s">
        <v>998</v>
      </c>
      <c r="G161" s="347" t="str">
        <f>'2 lentelė'!E160</f>
        <v>P.N.604</v>
      </c>
      <c r="H161" s="32" t="str">
        <f>'2 lentelė'!F160</f>
        <v>,,Tuberkulioze sergantys pacientai, kuriems buvo suteiktos socialinės paramos priemonės (maisto talonų dalijimas ir (arba) kelionės išlaidų kompensavimas) tuberkuliozės ambulatorinio gydymo metu“</v>
      </c>
      <c r="I161" s="176">
        <f>'2 lentelė'!G160</f>
        <v>13</v>
      </c>
      <c r="J161" s="58">
        <v>13</v>
      </c>
      <c r="K161" s="162">
        <v>5</v>
      </c>
      <c r="L161" s="133"/>
      <c r="M161" s="32"/>
      <c r="N161" s="32"/>
      <c r="O161" s="56"/>
      <c r="P161" s="160"/>
      <c r="Q161" s="135"/>
      <c r="R161" s="29"/>
      <c r="S161" s="29"/>
      <c r="T161" s="56"/>
      <c r="U161" s="160"/>
      <c r="V161" s="137"/>
      <c r="W161" s="37"/>
      <c r="X161" s="29"/>
      <c r="Y161" s="29"/>
      <c r="Z161" s="136"/>
      <c r="AA161" s="138"/>
      <c r="AB161" s="54"/>
      <c r="AC161" s="54"/>
      <c r="AD161" s="74"/>
      <c r="AE161" s="149"/>
      <c r="AF161" s="138"/>
      <c r="AG161" s="54"/>
      <c r="AH161" s="54"/>
      <c r="AI161" s="74"/>
      <c r="AJ161" s="149"/>
      <c r="AK161" s="6"/>
    </row>
    <row r="162" spans="2:37" ht="242.25" x14ac:dyDescent="0.25">
      <c r="B162" s="35" t="str">
        <f>'1 lentelė'!$B161</f>
        <v>3.2.1.2.5</v>
      </c>
      <c r="C162" s="35" t="str">
        <f>'1 lentelė'!$C161</f>
        <v>R096615-470000-3205</v>
      </c>
      <c r="D162" s="35" t="str">
        <f>'1 lentelė'!$D161</f>
        <v>Sergamumo ir mirtingumo mažinimas nuo tuberkuliozės Visagino savivaldybėje</v>
      </c>
      <c r="E162" s="39" t="s">
        <v>66</v>
      </c>
      <c r="F162" s="132" t="s">
        <v>999</v>
      </c>
      <c r="G162" s="347" t="str">
        <f>'2 lentelė'!E161</f>
        <v>P.N.604</v>
      </c>
      <c r="H162" s="32" t="str">
        <f>'2 lentelė'!F161</f>
        <v>,,Tuberkulioze sergantys pacientai, kuriems buvo suteiktos socialinės paramos priemonės (maisto talonų dalijimas ir (arba) kelionės išlaidų kompensavimas) tuberkuliozės ambulatorinio gydymo metu“</v>
      </c>
      <c r="I162" s="176">
        <f>'2 lentelė'!G161</f>
        <v>5</v>
      </c>
      <c r="J162" s="58">
        <v>5</v>
      </c>
      <c r="K162" s="162">
        <v>1</v>
      </c>
      <c r="L162" s="133"/>
      <c r="M162" s="32"/>
      <c r="N162" s="32"/>
      <c r="O162" s="56"/>
      <c r="P162" s="160"/>
      <c r="Q162" s="135"/>
      <c r="R162" s="29"/>
      <c r="S162" s="29"/>
      <c r="T162" s="56"/>
      <c r="U162" s="160"/>
      <c r="V162" s="137"/>
      <c r="W162" s="37"/>
      <c r="X162" s="29"/>
      <c r="Y162" s="29"/>
      <c r="Z162" s="136"/>
      <c r="AA162" s="138"/>
      <c r="AB162" s="54"/>
      <c r="AC162" s="54"/>
      <c r="AD162" s="74"/>
      <c r="AE162" s="149"/>
      <c r="AF162" s="138"/>
      <c r="AG162" s="54"/>
      <c r="AH162" s="54"/>
      <c r="AI162" s="74"/>
      <c r="AJ162" s="149"/>
      <c r="AK162" s="6"/>
    </row>
    <row r="163" spans="2:37" ht="228" customHeight="1" x14ac:dyDescent="0.25">
      <c r="B163" s="35" t="str">
        <f>'1 lentelė'!$B162</f>
        <v>3.2.1.2.6</v>
      </c>
      <c r="C163" s="35" t="str">
        <f>'1 lentelė'!$C162</f>
        <v>R096615-470000-3206</v>
      </c>
      <c r="D163" s="35" t="str">
        <f>'1 lentelė'!$D162</f>
        <v>Priemonių, gerinančių ambulatorinių sveikatos priežiūros paslaugų prieinamumą tuberkulioze sergantiems asmenims, įgyvendinimas Zarasų rajono savivaldybėje</v>
      </c>
      <c r="E163" s="39" t="s">
        <v>66</v>
      </c>
      <c r="F163" s="169" t="s">
        <v>1000</v>
      </c>
      <c r="G163" s="347" t="str">
        <f>'2 lentelė'!E162</f>
        <v>P.N.604</v>
      </c>
      <c r="H163" s="32" t="str">
        <f>'2 lentelė'!F162</f>
        <v>,,Tuberkulioze sergantys pacientai, kuriems buvo suteiktos socialinės paramos priemonės (maisto talonų dalijimas ir (arba) kelionės išlaidų kompensavimas) tuberkuliozės ambulatorinio gydymo metu“</v>
      </c>
      <c r="I163" s="176">
        <f>'2 lentelė'!G162</f>
        <v>17</v>
      </c>
      <c r="J163" s="58">
        <v>17</v>
      </c>
      <c r="K163" s="162">
        <v>3</v>
      </c>
      <c r="L163" s="133"/>
      <c r="M163" s="32"/>
      <c r="N163" s="32"/>
      <c r="O163" s="56"/>
      <c r="P163" s="160"/>
      <c r="Q163" s="135"/>
      <c r="R163" s="29"/>
      <c r="S163" s="29"/>
      <c r="T163" s="56"/>
      <c r="U163" s="160"/>
      <c r="V163" s="137"/>
      <c r="W163" s="37"/>
      <c r="X163" s="29"/>
      <c r="Y163" s="29"/>
      <c r="Z163" s="136"/>
      <c r="AA163" s="138"/>
      <c r="AB163" s="54"/>
      <c r="AC163" s="54"/>
      <c r="AD163" s="74"/>
      <c r="AE163" s="149"/>
      <c r="AF163" s="138"/>
      <c r="AG163" s="54"/>
      <c r="AH163" s="54"/>
      <c r="AI163" s="74"/>
      <c r="AJ163" s="149"/>
      <c r="AK163" s="6"/>
    </row>
    <row r="164" spans="2:37" ht="81" customHeight="1" x14ac:dyDescent="0.25">
      <c r="B164" s="71" t="str">
        <f>'1 lentelė'!$B163</f>
        <v>3.2.2</v>
      </c>
      <c r="C164" s="71"/>
      <c r="D164" s="70" t="str">
        <f>'1 lentelė'!$D163</f>
        <v>Uždavinys: Skatinti sveiką gyvenseną ir visuomenės sveikatos raštingumą</v>
      </c>
      <c r="E164" s="71"/>
      <c r="F164" s="183"/>
      <c r="G164" s="71"/>
      <c r="H164" s="71"/>
      <c r="I164" s="71"/>
      <c r="J164" s="71"/>
      <c r="K164" s="183"/>
      <c r="L164" s="71"/>
      <c r="M164" s="71"/>
      <c r="N164" s="71"/>
      <c r="O164" s="71"/>
      <c r="P164" s="183"/>
      <c r="Q164" s="71"/>
      <c r="R164" s="71"/>
      <c r="S164" s="71"/>
      <c r="T164" s="71"/>
      <c r="U164" s="174"/>
      <c r="V164" s="71"/>
      <c r="W164" s="71"/>
      <c r="X164" s="71"/>
      <c r="Y164" s="79"/>
      <c r="Z164" s="183"/>
      <c r="AA164" s="71"/>
      <c r="AB164" s="71"/>
      <c r="AC164" s="71"/>
      <c r="AD164" s="79"/>
      <c r="AE164" s="183"/>
      <c r="AF164" s="71"/>
      <c r="AG164" s="71"/>
      <c r="AH164" s="71"/>
      <c r="AI164" s="79"/>
      <c r="AJ164" s="183"/>
      <c r="AK164" s="6"/>
    </row>
    <row r="165" spans="2:37" ht="70.5" customHeight="1" x14ac:dyDescent="0.25">
      <c r="B165" s="60" t="str">
        <f>'1 lentelė'!$B164</f>
        <v>3.2.2.1</v>
      </c>
      <c r="C165" s="60"/>
      <c r="D165" s="91" t="str">
        <f>'1 lentelė'!$D164</f>
        <v xml:space="preserve">Priemonė: Sveikos gyvensenos skatinimas regioniniu lygiu </v>
      </c>
      <c r="E165" s="60"/>
      <c r="F165" s="152"/>
      <c r="G165" s="60"/>
      <c r="H165" s="60"/>
      <c r="I165" s="60"/>
      <c r="J165" s="60"/>
      <c r="K165" s="152"/>
      <c r="L165" s="60"/>
      <c r="M165" s="60"/>
      <c r="N165" s="60"/>
      <c r="O165" s="60"/>
      <c r="P165" s="152"/>
      <c r="Q165" s="60"/>
      <c r="R165" s="60"/>
      <c r="S165" s="60"/>
      <c r="T165" s="60"/>
      <c r="U165" s="166"/>
      <c r="V165" s="60"/>
      <c r="W165" s="60"/>
      <c r="X165" s="60"/>
      <c r="Y165" s="50"/>
      <c r="Z165" s="152"/>
      <c r="AA165" s="60"/>
      <c r="AB165" s="60"/>
      <c r="AC165" s="60"/>
      <c r="AD165" s="50"/>
      <c r="AE165" s="152"/>
      <c r="AF165" s="60"/>
      <c r="AG165" s="60"/>
      <c r="AH165" s="60"/>
      <c r="AI165" s="50"/>
      <c r="AJ165" s="152"/>
      <c r="AK165" s="6"/>
    </row>
    <row r="166" spans="2:37" ht="144.75" customHeight="1" x14ac:dyDescent="0.25">
      <c r="B166" s="35" t="str">
        <f>'1 lentelė'!$B165</f>
        <v>3.2.2.1.1.</v>
      </c>
      <c r="C166" s="35" t="str">
        <f>'1 lentelė'!$C165</f>
        <v>R096630-470000-3207</v>
      </c>
      <c r="D166" s="35" t="str">
        <f>'1 lentelė'!$D165</f>
        <v>Sveikos gyvensenos skatinimas Anykščių rajono savivaldybėje</v>
      </c>
      <c r="E166" s="39" t="s">
        <v>66</v>
      </c>
      <c r="F166" s="169" t="s">
        <v>1001</v>
      </c>
      <c r="G166" s="347" t="str">
        <f>'2 lentelė'!E165</f>
        <v>P.S.372</v>
      </c>
      <c r="H166" s="32" t="str">
        <f>'2 lentelė'!F165</f>
        <v>Tikslinių grupių asmenys, kurie dalyvavo informavimo, švietimo ir mokymo renginiuose bei sveikatos raštingumą didiniančiose veiklose, skaičius (2018 m.-515)</v>
      </c>
      <c r="I166" s="32">
        <f>'2 lentelė'!G165</f>
        <v>2100</v>
      </c>
      <c r="J166" s="58">
        <v>2100</v>
      </c>
      <c r="K166" s="162">
        <v>1808</v>
      </c>
      <c r="L166" s="347" t="str">
        <f>'2 lentelė'!H165</f>
        <v>P.N.671</v>
      </c>
      <c r="M166" s="32" t="str">
        <f>'2 lentelė'!I165</f>
        <v>„Modernizuoti savivaldybių visuomenės sveikatos biurai“, vnt.</v>
      </c>
      <c r="N166" s="176">
        <f>'2 lentelė'!J165</f>
        <v>1</v>
      </c>
      <c r="O166" s="58">
        <v>1</v>
      </c>
      <c r="P166" s="162">
        <v>1</v>
      </c>
      <c r="Q166" s="135"/>
      <c r="R166" s="29"/>
      <c r="S166" s="29"/>
      <c r="T166" s="29"/>
      <c r="U166" s="29"/>
      <c r="V166" s="137"/>
      <c r="W166" s="37"/>
      <c r="X166" s="29"/>
      <c r="Y166" s="29"/>
      <c r="Z166" s="29"/>
      <c r="AA166" s="137"/>
      <c r="AB166" s="54"/>
      <c r="AC166" s="54"/>
      <c r="AD166" s="74"/>
      <c r="AE166" s="149"/>
      <c r="AF166" s="138"/>
      <c r="AG166" s="54"/>
      <c r="AH166" s="54"/>
      <c r="AI166" s="74"/>
      <c r="AJ166" s="149"/>
      <c r="AK166" s="6"/>
    </row>
    <row r="167" spans="2:37" ht="191.25" x14ac:dyDescent="0.25">
      <c r="B167" s="35" t="str">
        <f>'1 lentelė'!$B166</f>
        <v>3.2.2.1.2.</v>
      </c>
      <c r="C167" s="35" t="str">
        <f>'1 lentelė'!$C166</f>
        <v>R096630-470000-3208</v>
      </c>
      <c r="D167" s="35" t="str">
        <f>'1 lentelė'!$D166</f>
        <v>Sveikos gyvensenos skatinimas Molėtų rajono savivaldybėje</v>
      </c>
      <c r="E167" s="39" t="s">
        <v>66</v>
      </c>
      <c r="F167" s="169" t="s">
        <v>1002</v>
      </c>
      <c r="G167" s="347" t="str">
        <f>'2 lentelė'!E166</f>
        <v>P.S.372</v>
      </c>
      <c r="H167" s="32" t="str">
        <f>'2 lentelė'!F166</f>
        <v>Tikslinių grupių asmenys, kurie dalyvavo informavimo, švietimo ir mokymo renginiuose bei sveikatos raštingumą didiniančiose veiklose, skaičius (2018 m.-468)</v>
      </c>
      <c r="I167" s="32">
        <f>'2 lentelė'!G166</f>
        <v>1782</v>
      </c>
      <c r="J167" s="58">
        <v>1782</v>
      </c>
      <c r="K167" s="162">
        <v>928</v>
      </c>
      <c r="L167" s="347"/>
      <c r="M167" s="32"/>
      <c r="N167" s="176"/>
      <c r="O167" s="58"/>
      <c r="P167" s="162"/>
      <c r="Q167" s="135"/>
      <c r="R167" s="29"/>
      <c r="S167" s="29"/>
      <c r="T167" s="56"/>
      <c r="U167" s="160"/>
      <c r="V167" s="137"/>
      <c r="W167" s="37"/>
      <c r="X167" s="29"/>
      <c r="Y167" s="29"/>
      <c r="Z167" s="136"/>
      <c r="AA167" s="138"/>
      <c r="AB167" s="54"/>
      <c r="AC167" s="54"/>
      <c r="AD167" s="74"/>
      <c r="AE167" s="149"/>
      <c r="AF167" s="138"/>
      <c r="AG167" s="54"/>
      <c r="AH167" s="54"/>
      <c r="AI167" s="74"/>
      <c r="AJ167" s="149"/>
      <c r="AK167" s="6"/>
    </row>
    <row r="168" spans="2:37" ht="197.25" customHeight="1" x14ac:dyDescent="0.25">
      <c r="B168" s="35" t="str">
        <f>'1 lentelė'!$B167</f>
        <v>3.2.2.1.3.</v>
      </c>
      <c r="C168" s="35" t="str">
        <f>'1 lentelė'!$C167</f>
        <v>R096630-470000-3209</v>
      </c>
      <c r="D168" s="35" t="str">
        <f>'1 lentelė'!$D167</f>
        <v>Sveikos gyvensenos skatinimas Utenos rajone</v>
      </c>
      <c r="E168" s="39" t="s">
        <v>66</v>
      </c>
      <c r="F168" s="169" t="s">
        <v>1003</v>
      </c>
      <c r="G168" s="347" t="str">
        <f>'2 lentelė'!E167</f>
        <v>P.S.372</v>
      </c>
      <c r="H168" s="32" t="str">
        <f>'2 lentelė'!F167</f>
        <v>Tikslinių grupių asmenys, kurie dalyvavo informavimo, švietimo ir mokymo renginiuose bei sveikatos raštingumą didiniančiose veiklose, skaičius (2018 m.-658)</v>
      </c>
      <c r="I168" s="32">
        <f>'2 lentelė'!G167</f>
        <v>2488</v>
      </c>
      <c r="J168" s="58">
        <v>2488</v>
      </c>
      <c r="K168" s="162">
        <v>1109</v>
      </c>
      <c r="L168" s="347"/>
      <c r="M168" s="32"/>
      <c r="N168" s="176"/>
      <c r="O168" s="58"/>
      <c r="P168" s="162"/>
      <c r="Q168" s="135"/>
      <c r="R168" s="29"/>
      <c r="S168" s="29"/>
      <c r="T168" s="56"/>
      <c r="U168" s="160"/>
      <c r="V168" s="137"/>
      <c r="W168" s="37"/>
      <c r="X168" s="29"/>
      <c r="Y168" s="29"/>
      <c r="Z168" s="136"/>
      <c r="AA168" s="138"/>
      <c r="AB168" s="54"/>
      <c r="AC168" s="54"/>
      <c r="AD168" s="74"/>
      <c r="AE168" s="149"/>
      <c r="AF168" s="138"/>
      <c r="AG168" s="54"/>
      <c r="AH168" s="54"/>
      <c r="AI168" s="74"/>
      <c r="AJ168" s="149"/>
      <c r="AK168" s="6"/>
    </row>
    <row r="169" spans="2:37" ht="191.25" x14ac:dyDescent="0.25">
      <c r="B169" s="35" t="str">
        <f>'1 lentelė'!$B168</f>
        <v>3.2.2.1.4.</v>
      </c>
      <c r="C169" s="35" t="str">
        <f>'1 lentelė'!$C168</f>
        <v>R096630-470000-3210</v>
      </c>
      <c r="D169" s="35" t="str">
        <f>'1 lentelė'!$D168</f>
        <v>Sveikos gyvensenos skatinimas Zarasų rajono savivaldybėje</v>
      </c>
      <c r="E169" s="39" t="s">
        <v>66</v>
      </c>
      <c r="F169" s="169" t="s">
        <v>1004</v>
      </c>
      <c r="G169" s="347" t="str">
        <f>'2 lentelė'!E168</f>
        <v>P.S.372</v>
      </c>
      <c r="H169" s="32" t="str">
        <f>'2 lentelė'!F168</f>
        <v>Tikslinių grupių asmenys, kurie dalyvavo informavimo, švietimo ir mokymo renginiuose bei sveikatos raštingumą didiniančiose veiklose, skaičius (2018m.- 374)</v>
      </c>
      <c r="I169" s="32">
        <f>'2 lentelė'!G168</f>
        <v>1414</v>
      </c>
      <c r="J169" s="58">
        <v>1414</v>
      </c>
      <c r="K169" s="162">
        <v>1269</v>
      </c>
      <c r="L169" s="347"/>
      <c r="M169" s="32"/>
      <c r="N169" s="176"/>
      <c r="O169" s="56"/>
      <c r="P169" s="160"/>
      <c r="Q169" s="135"/>
      <c r="R169" s="29"/>
      <c r="S169" s="29"/>
      <c r="T169" s="56"/>
      <c r="U169" s="160"/>
      <c r="V169" s="137"/>
      <c r="W169" s="37"/>
      <c r="X169" s="29"/>
      <c r="Y169" s="29"/>
      <c r="Z169" s="136"/>
      <c r="AA169" s="138"/>
      <c r="AB169" s="54"/>
      <c r="AC169" s="54"/>
      <c r="AD169" s="74"/>
      <c r="AE169" s="149"/>
      <c r="AF169" s="138"/>
      <c r="AG169" s="54"/>
      <c r="AH169" s="54"/>
      <c r="AI169" s="74"/>
      <c r="AJ169" s="149"/>
      <c r="AK169" s="6"/>
    </row>
    <row r="170" spans="2:37" ht="191.25" x14ac:dyDescent="0.25">
      <c r="B170" s="35" t="str">
        <f>'1 lentelė'!$B169</f>
        <v>3.2.2.1.5.</v>
      </c>
      <c r="C170" s="35" t="str">
        <f>'1 lentelė'!$C169</f>
        <v>R096630-470000-32011</v>
      </c>
      <c r="D170" s="35" t="str">
        <f>'1 lentelė'!$D169</f>
        <v>Sveikos gyvensenos skatinimas Ignalinos rajone</v>
      </c>
      <c r="E170" s="39" t="s">
        <v>66</v>
      </c>
      <c r="F170" s="169" t="s">
        <v>1005</v>
      </c>
      <c r="G170" s="347" t="str">
        <f>'2 lentelė'!E169</f>
        <v>P.S.372</v>
      </c>
      <c r="H170" s="32" t="str">
        <f>'2 lentelė'!F169</f>
        <v>Tikslinių grupių asmenys, kurie dalyvavo informavimo, švietimo ir mokymo renginiuose bei sveikatos raštingumą didiniančiose veiklose, skaičius (2018 m. -106)</v>
      </c>
      <c r="I170" s="32">
        <f>'2 lentelė'!G169</f>
        <v>591</v>
      </c>
      <c r="J170" s="32">
        <v>591</v>
      </c>
      <c r="K170" s="134">
        <v>530</v>
      </c>
      <c r="L170" s="347"/>
      <c r="M170" s="32"/>
      <c r="N170" s="176"/>
      <c r="O170" s="56"/>
      <c r="P170" s="160"/>
      <c r="Q170" s="135"/>
      <c r="R170" s="29"/>
      <c r="S170" s="29"/>
      <c r="T170" s="56"/>
      <c r="U170" s="160"/>
      <c r="V170" s="137"/>
      <c r="W170" s="37"/>
      <c r="X170" s="29"/>
      <c r="Y170" s="29"/>
      <c r="Z170" s="136"/>
      <c r="AA170" s="138"/>
      <c r="AB170" s="54"/>
      <c r="AC170" s="54"/>
      <c r="AD170" s="74"/>
      <c r="AE170" s="149"/>
      <c r="AF170" s="138"/>
      <c r="AG170" s="54"/>
      <c r="AH170" s="54"/>
      <c r="AI170" s="74"/>
      <c r="AJ170" s="149"/>
      <c r="AK170" s="6"/>
    </row>
    <row r="171" spans="2:37" ht="191.25" x14ac:dyDescent="0.25">
      <c r="B171" s="35" t="str">
        <f>'1 lentelė'!$B170</f>
        <v>3.2.2.1.6.</v>
      </c>
      <c r="C171" s="35" t="str">
        <f>'1 lentelė'!$C170</f>
        <v>R096630-470000-3212</v>
      </c>
      <c r="D171" s="35" t="str">
        <f>'1 lentelė'!$D170</f>
        <v>Vaikų  sveikos  gyvensenos  skatinimas Visagino savivaldybėje</v>
      </c>
      <c r="E171" s="39" t="s">
        <v>66</v>
      </c>
      <c r="F171" s="169" t="s">
        <v>1006</v>
      </c>
      <c r="G171" s="347" t="str">
        <f>'2 lentelė'!E170</f>
        <v>P.S.372</v>
      </c>
      <c r="H171" s="32" t="str">
        <f>'2 lentelė'!F170</f>
        <v>Tikslinių grupių asmenys, kurie dalyvavo informavimo, švietimo ir mokymo renginiuose bei sveikatos raštingumą didinančiose veiklose“, skaičius  (2018 m.- 500)</v>
      </c>
      <c r="I171" s="32">
        <f>'2 lentelė'!G170</f>
        <v>1036</v>
      </c>
      <c r="J171" s="58">
        <v>560</v>
      </c>
      <c r="K171" s="162">
        <v>1036</v>
      </c>
      <c r="L171" s="347"/>
      <c r="M171" s="32"/>
      <c r="N171" s="176"/>
      <c r="O171" s="56"/>
      <c r="P171" s="160"/>
      <c r="Q171" s="135"/>
      <c r="R171" s="29"/>
      <c r="S171" s="29"/>
      <c r="T171" s="56"/>
      <c r="U171" s="160"/>
      <c r="V171" s="137"/>
      <c r="W171" s="37"/>
      <c r="X171" s="29"/>
      <c r="Y171" s="29"/>
      <c r="Z171" s="136"/>
      <c r="AA171" s="138"/>
      <c r="AB171" s="54"/>
      <c r="AC171" s="54"/>
      <c r="AD171" s="74"/>
      <c r="AE171" s="149"/>
      <c r="AF171" s="138"/>
      <c r="AG171" s="54"/>
      <c r="AH171" s="54"/>
      <c r="AI171" s="74"/>
      <c r="AJ171" s="149"/>
      <c r="AK171" s="6"/>
    </row>
    <row r="172" spans="2:37" ht="165.75" x14ac:dyDescent="0.25">
      <c r="B172" s="35" t="str">
        <f>'1 lentelė'!$B171</f>
        <v>3.2.2.1.7.</v>
      </c>
      <c r="C172" s="35" t="str">
        <f>'1 lentelė'!$C171</f>
        <v>R096630-470000-3236</v>
      </c>
      <c r="D172" s="35" t="str">
        <f>'1 lentelė'!$D171</f>
        <v>Sveikos gyvensenos skatinimas Ignalinos rajone. II etapas</v>
      </c>
      <c r="E172" s="39" t="s">
        <v>66</v>
      </c>
      <c r="F172" s="132" t="s">
        <v>1468</v>
      </c>
      <c r="G172" s="347" t="str">
        <f>'2 lentelė'!E171</f>
        <v>P.S.372</v>
      </c>
      <c r="H172" s="32" t="str">
        <f>'2 lentelė'!F171</f>
        <v>Tikslinių grupių asmenys, kurie dalyvavo informavimo, švietimo ir mokymo renginiuose bei sveikatos raštingumą didinančiose veiklose.</v>
      </c>
      <c r="I172" s="32">
        <f>'2 lentelė'!G171</f>
        <v>219</v>
      </c>
      <c r="J172" s="32">
        <v>0</v>
      </c>
      <c r="K172" s="134">
        <v>0</v>
      </c>
      <c r="L172" s="347"/>
      <c r="M172" s="32"/>
      <c r="N172" s="176"/>
      <c r="O172" s="56"/>
      <c r="P172" s="160"/>
      <c r="Q172" s="135"/>
      <c r="R172" s="29"/>
      <c r="S172" s="29"/>
      <c r="T172" s="56"/>
      <c r="U172" s="160"/>
      <c r="V172" s="137"/>
      <c r="W172" s="37"/>
      <c r="X172" s="29"/>
      <c r="Y172" s="29"/>
      <c r="Z172" s="136"/>
      <c r="AA172" s="138"/>
      <c r="AB172" s="54"/>
      <c r="AC172" s="54"/>
      <c r="AD172" s="74"/>
      <c r="AE172" s="149"/>
      <c r="AF172" s="138"/>
      <c r="AG172" s="54"/>
      <c r="AH172" s="54"/>
      <c r="AI172" s="74"/>
      <c r="AJ172" s="149"/>
      <c r="AK172" s="6"/>
    </row>
    <row r="173" spans="2:37" ht="105.75" customHeight="1" x14ac:dyDescent="0.25">
      <c r="B173" s="71" t="str">
        <f>'1 lentelė'!$B172</f>
        <v>3.2.3</v>
      </c>
      <c r="C173" s="71"/>
      <c r="D173" s="70" t="str">
        <f>'1 lentelė'!$D172</f>
        <v>Uždavinys: Plėtoti socialinių paslaugų infrastruktūrą ir socialinio būsto fondą bei didinti jų prieinamumą</v>
      </c>
      <c r="E173" s="71"/>
      <c r="F173" s="151"/>
      <c r="G173" s="71"/>
      <c r="H173" s="71"/>
      <c r="I173" s="71"/>
      <c r="J173" s="71"/>
      <c r="K173" s="151"/>
      <c r="L173" s="71"/>
      <c r="M173" s="71"/>
      <c r="N173" s="71"/>
      <c r="O173" s="71"/>
      <c r="P173" s="151"/>
      <c r="Q173" s="71"/>
      <c r="R173" s="71"/>
      <c r="S173" s="71"/>
      <c r="T173" s="71"/>
      <c r="U173" s="174"/>
      <c r="V173" s="71"/>
      <c r="W173" s="71"/>
      <c r="X173" s="71"/>
      <c r="Y173" s="48"/>
      <c r="Z173" s="151"/>
      <c r="AA173" s="71"/>
      <c r="AB173" s="71"/>
      <c r="AC173" s="71"/>
      <c r="AD173" s="48"/>
      <c r="AE173" s="151"/>
      <c r="AF173" s="71"/>
      <c r="AG173" s="71"/>
      <c r="AH173" s="71"/>
      <c r="AI173" s="48"/>
      <c r="AJ173" s="151"/>
      <c r="AK173" s="6"/>
    </row>
    <row r="174" spans="2:37" ht="67.5" x14ac:dyDescent="0.25">
      <c r="B174" s="60" t="str">
        <f>'1 lentelė'!$B173</f>
        <v>3.2.3.1</v>
      </c>
      <c r="C174" s="60"/>
      <c r="D174" s="91" t="str">
        <f>'1 lentelė'!$D173</f>
        <v>Priemonė: Socialinių paslaugų infrastruktūros plėtra</v>
      </c>
      <c r="E174" s="60"/>
      <c r="F174" s="152"/>
      <c r="G174" s="60"/>
      <c r="H174" s="60"/>
      <c r="I174" s="60"/>
      <c r="J174" s="60"/>
      <c r="K174" s="152"/>
      <c r="L174" s="60"/>
      <c r="M174" s="60"/>
      <c r="N174" s="60"/>
      <c r="O174" s="60"/>
      <c r="P174" s="152"/>
      <c r="Q174" s="60"/>
      <c r="R174" s="60"/>
      <c r="S174" s="60"/>
      <c r="T174" s="60"/>
      <c r="U174" s="166"/>
      <c r="V174" s="60"/>
      <c r="W174" s="60"/>
      <c r="X174" s="60"/>
      <c r="Y174" s="50"/>
      <c r="Z174" s="152"/>
      <c r="AA174" s="60"/>
      <c r="AB174" s="60"/>
      <c r="AC174" s="60"/>
      <c r="AD174" s="50"/>
      <c r="AE174" s="152"/>
      <c r="AF174" s="60"/>
      <c r="AG174" s="60"/>
      <c r="AH174" s="60"/>
      <c r="AI174" s="50"/>
      <c r="AJ174" s="152"/>
      <c r="AK174" s="6"/>
    </row>
    <row r="175" spans="2:37" ht="127.5" x14ac:dyDescent="0.25">
      <c r="B175" s="35" t="str">
        <f>'1 lentelė'!$B174</f>
        <v>3.2.3.1.1</v>
      </c>
      <c r="C175" s="35" t="str">
        <f>'1 lentelė'!$C174</f>
        <v>R094407-270000-3213</v>
      </c>
      <c r="D175" s="35" t="str">
        <f>'1 lentelė'!$D174</f>
        <v>Anykščių rajono Svėdasų senelių globos namų modernizavimas</v>
      </c>
      <c r="E175" s="39" t="s">
        <v>66</v>
      </c>
      <c r="F175" s="169" t="s">
        <v>1007</v>
      </c>
      <c r="G175" s="347" t="str">
        <f>'2 lentelė'!E174</f>
        <v>P.S.361</v>
      </c>
      <c r="H175" s="32" t="str">
        <f>'2 lentelė'!F174</f>
        <v>Investicijas gavę socialinių paslaugų infrastruktūros objektai, vnt.</v>
      </c>
      <c r="I175" s="176">
        <f>'2 lentelė'!G174</f>
        <v>1</v>
      </c>
      <c r="J175" s="58">
        <v>1</v>
      </c>
      <c r="K175" s="162">
        <v>0</v>
      </c>
      <c r="L175" s="347" t="str">
        <f>'2 lentelė'!H174</f>
        <v>P.N.403</v>
      </c>
      <c r="M175" s="32" t="str">
        <f>'2 lentelė'!I174</f>
        <v>Tikslinių grupių asmenys, gavę tiesioginės naudos iš investicijų į socialinių paslaugų infrastruktūrą</v>
      </c>
      <c r="N175" s="176">
        <f>'2 lentelė'!J174</f>
        <v>50</v>
      </c>
      <c r="O175" s="58">
        <v>50</v>
      </c>
      <c r="P175" s="162">
        <v>0</v>
      </c>
      <c r="Q175" s="348" t="str">
        <f>'2 lentelė'!K174</f>
        <v>R.N.404</v>
      </c>
      <c r="R175" s="29" t="str">
        <f>'2 lentelė'!L174</f>
        <v>Investicijas gavusiose įstaigose esančios vietos socialinių paslaugų gavėjams</v>
      </c>
      <c r="S175" s="283">
        <f>'2 lentelė'!M174</f>
        <v>35</v>
      </c>
      <c r="T175" s="58">
        <v>35</v>
      </c>
      <c r="U175" s="162">
        <v>0</v>
      </c>
      <c r="V175" s="137"/>
      <c r="W175" s="37"/>
      <c r="X175" s="29"/>
      <c r="Y175" s="29"/>
      <c r="Z175" s="136"/>
      <c r="AA175" s="138"/>
      <c r="AB175" s="54"/>
      <c r="AC175" s="54"/>
      <c r="AD175" s="74"/>
      <c r="AE175" s="149"/>
      <c r="AF175" s="138"/>
      <c r="AG175" s="54"/>
      <c r="AH175" s="54"/>
      <c r="AI175" s="74"/>
      <c r="AJ175" s="149"/>
      <c r="AK175" s="6"/>
    </row>
    <row r="176" spans="2:37" ht="127.5" x14ac:dyDescent="0.25">
      <c r="B176" s="35" t="str">
        <f>'1 lentelė'!$B175</f>
        <v>3.2.3.1.2</v>
      </c>
      <c r="C176" s="35" t="str">
        <f>'1 lentelė'!$C175</f>
        <v>R094407-270000-3214</v>
      </c>
      <c r="D176" s="35" t="str">
        <f>'1 lentelė'!$D175</f>
        <v>Utenos rajono savivaldybės Leliūnų socialinės globos namų modernizavimas</v>
      </c>
      <c r="E176" s="39" t="s">
        <v>66</v>
      </c>
      <c r="F176" s="169" t="s">
        <v>1008</v>
      </c>
      <c r="G176" s="347" t="str">
        <f>'2 lentelė'!E175</f>
        <v>P.S.361</v>
      </c>
      <c r="H176" s="32" t="str">
        <f>'2 lentelė'!F175</f>
        <v>Investicijas gavę socialinių paslaugų infrastruktūros objektai, vnt.</v>
      </c>
      <c r="I176" s="176">
        <f>'2 lentelė'!G175</f>
        <v>1</v>
      </c>
      <c r="J176" s="58">
        <v>1</v>
      </c>
      <c r="K176" s="162">
        <v>1</v>
      </c>
      <c r="L176" s="347" t="str">
        <f>'2 lentelė'!H175</f>
        <v>P.N.403</v>
      </c>
      <c r="M176" s="32" t="str">
        <f>'2 lentelė'!I175</f>
        <v>Tikslinių grupių asmenys, gavę tiesioginės naudos iš investicijų į socialinių paslaugų infrastruktūrą</v>
      </c>
      <c r="N176" s="176">
        <f>'2 lentelė'!J175</f>
        <v>0</v>
      </c>
      <c r="O176" s="58">
        <v>43</v>
      </c>
      <c r="P176" s="162">
        <v>0</v>
      </c>
      <c r="Q176" s="348" t="str">
        <f>'2 lentelė'!K175</f>
        <v>R.N.404</v>
      </c>
      <c r="R176" s="29" t="str">
        <f>'2 lentelė'!L175</f>
        <v>Investicijas gavusiose įstaigose esančios vietos socialinių paslaugų gavėjams</v>
      </c>
      <c r="S176" s="283">
        <f>'2 lentelė'!M175</f>
        <v>28</v>
      </c>
      <c r="T176" s="58">
        <v>28</v>
      </c>
      <c r="U176" s="162">
        <v>28</v>
      </c>
      <c r="V176" s="137"/>
      <c r="W176" s="37"/>
      <c r="X176" s="29"/>
      <c r="Y176" s="29"/>
      <c r="Z176" s="136"/>
      <c r="AA176" s="138"/>
      <c r="AB176" s="54"/>
      <c r="AC176" s="54"/>
      <c r="AD176" s="74"/>
      <c r="AE176" s="149"/>
      <c r="AF176" s="138"/>
      <c r="AG176" s="54"/>
      <c r="AH176" s="54"/>
      <c r="AI176" s="74"/>
      <c r="AJ176" s="149"/>
      <c r="AK176" s="6"/>
    </row>
    <row r="177" spans="2:37" ht="127.5" x14ac:dyDescent="0.25">
      <c r="B177" s="35" t="str">
        <f>'1 lentelė'!$B176</f>
        <v>3.2.3.1.3</v>
      </c>
      <c r="C177" s="35" t="str">
        <f>'1 lentelė'!$C176</f>
        <v>R094407-270000-3215</v>
      </c>
      <c r="D177" s="35" t="str">
        <f>'1 lentelė'!$D176</f>
        <v>Zarasų rajono socialinių paslaugų centro nakvynės namų modernizavimas ir plėtra</v>
      </c>
      <c r="E177" s="39" t="s">
        <v>66</v>
      </c>
      <c r="F177" s="169" t="s">
        <v>1009</v>
      </c>
      <c r="G177" s="347" t="str">
        <f>'2 lentelė'!E176</f>
        <v>P.S.361</v>
      </c>
      <c r="H177" s="32" t="str">
        <f>'2 lentelė'!F176</f>
        <v>Investicijas gavę socialinių paslaugų infrastruktūros objektai, vnt.</v>
      </c>
      <c r="I177" s="176">
        <f>'2 lentelė'!G176</f>
        <v>1</v>
      </c>
      <c r="J177" s="58">
        <v>1</v>
      </c>
      <c r="K177" s="162">
        <v>1</v>
      </c>
      <c r="L177" s="347" t="str">
        <f>'2 lentelė'!H176</f>
        <v>P.N.403</v>
      </c>
      <c r="M177" s="32" t="str">
        <f>'2 lentelė'!I176</f>
        <v>Tikslinių grupių asmenys, gavę tiesioginės naudos iš investicijų į socialinių paslaugų infrastruktūrą</v>
      </c>
      <c r="N177" s="176">
        <f>'2 lentelė'!J176</f>
        <v>0</v>
      </c>
      <c r="O177" s="58">
        <v>18</v>
      </c>
      <c r="P177" s="162">
        <v>0</v>
      </c>
      <c r="Q177" s="348" t="str">
        <f>'2 lentelė'!K176</f>
        <v>R.N.404</v>
      </c>
      <c r="R177" s="29" t="str">
        <f>'2 lentelė'!L176</f>
        <v>Investicijas gavusiose įstaigose esančios vietos socialinių paslaugų gavėjams</v>
      </c>
      <c r="S177" s="283">
        <f>'2 lentelė'!M176</f>
        <v>14</v>
      </c>
      <c r="T177" s="58">
        <v>14</v>
      </c>
      <c r="U177" s="162">
        <v>14</v>
      </c>
      <c r="V177" s="137"/>
      <c r="W177" s="37"/>
      <c r="X177" s="29"/>
      <c r="Y177" s="29"/>
      <c r="Z177" s="136"/>
      <c r="AA177" s="138"/>
      <c r="AB177" s="54"/>
      <c r="AC177" s="54"/>
      <c r="AD177" s="74"/>
      <c r="AE177" s="149"/>
      <c r="AF177" s="138"/>
      <c r="AG177" s="54"/>
      <c r="AH177" s="54"/>
      <c r="AI177" s="74"/>
      <c r="AJ177" s="149"/>
      <c r="AK177" s="6"/>
    </row>
    <row r="178" spans="2:37" ht="135.75" customHeight="1" x14ac:dyDescent="0.25">
      <c r="B178" s="35" t="str">
        <f>'1 lentelė'!$B177</f>
        <v>3.2.3.1.4</v>
      </c>
      <c r="C178" s="35" t="str">
        <f>'1 lentelė'!$C177</f>
        <v>R094407-270000-3216</v>
      </c>
      <c r="D178" s="35" t="str">
        <f>'1 lentelė'!$D177</f>
        <v>Apleisto (nenaudojamo) buvusio visuomeninio pastato konversija ir pritaikymas savarankiško gyvenimo namų Visagine įkūrimas</v>
      </c>
      <c r="E178" s="35" t="s">
        <v>65</v>
      </c>
      <c r="F178" s="169" t="s">
        <v>1010</v>
      </c>
      <c r="G178" s="347" t="str">
        <f>'2 lentelė'!E177</f>
        <v>P.S.361</v>
      </c>
      <c r="H178" s="32" t="str">
        <f>'2 lentelė'!F177</f>
        <v>Investicijas gavę socialinių paslaugų infrastruktūros objektai, vnt.</v>
      </c>
      <c r="I178" s="176">
        <f>'2 lentelė'!G177</f>
        <v>1</v>
      </c>
      <c r="J178" s="58">
        <v>1</v>
      </c>
      <c r="K178" s="162">
        <v>0</v>
      </c>
      <c r="L178" s="347" t="str">
        <f>'2 lentelė'!H177</f>
        <v>P.N.403</v>
      </c>
      <c r="M178" s="32" t="str">
        <f>'2 lentelė'!I177</f>
        <v>Tikslinių grupių asmenys, gavę tiesioginės naudos iš investicijų į socialinių paslaugų infrastruktūrą</v>
      </c>
      <c r="N178" s="176">
        <f>'2 lentelė'!J177</f>
        <v>20</v>
      </c>
      <c r="O178" s="58">
        <v>20</v>
      </c>
      <c r="P178" s="162">
        <v>0</v>
      </c>
      <c r="Q178" s="348" t="str">
        <f>'2 lentelė'!K177</f>
        <v>R.N.404</v>
      </c>
      <c r="R178" s="29" t="str">
        <f>'2 lentelė'!L177</f>
        <v>Investicijas gavusiose įstaigose esančios vietos socialinių paslaugų gavėjams</v>
      </c>
      <c r="S178" s="283">
        <f>'2 lentelė'!M177</f>
        <v>16</v>
      </c>
      <c r="T178" s="58">
        <v>16</v>
      </c>
      <c r="U178" s="162">
        <v>0</v>
      </c>
      <c r="V178" s="137"/>
      <c r="W178" s="37"/>
      <c r="X178" s="29"/>
      <c r="Y178" s="29"/>
      <c r="Z178" s="136"/>
      <c r="AA178" s="138"/>
      <c r="AB178" s="54"/>
      <c r="AC178" s="54"/>
      <c r="AD178" s="74"/>
      <c r="AE178" s="149"/>
      <c r="AF178" s="138"/>
      <c r="AG178" s="54"/>
      <c r="AH178" s="54"/>
      <c r="AI178" s="74"/>
      <c r="AJ178" s="149"/>
      <c r="AK178" s="6"/>
    </row>
    <row r="179" spans="2:37" ht="41.25" customHeight="1" x14ac:dyDescent="0.25">
      <c r="B179" s="60" t="str">
        <f>'1 lentelė'!$B178</f>
        <v>3.2.3.2</v>
      </c>
      <c r="C179" s="60"/>
      <c r="D179" s="91" t="str">
        <f>'1 lentelė'!$D178</f>
        <v>Priemonė: Socialinio būsto fondo plėtra</v>
      </c>
      <c r="E179" s="60"/>
      <c r="F179" s="152"/>
      <c r="G179" s="60"/>
      <c r="H179" s="60"/>
      <c r="I179" s="60"/>
      <c r="J179" s="60"/>
      <c r="K179" s="152"/>
      <c r="L179" s="60"/>
      <c r="M179" s="60"/>
      <c r="N179" s="60"/>
      <c r="O179" s="60"/>
      <c r="P179" s="152"/>
      <c r="Q179" s="60"/>
      <c r="R179" s="60"/>
      <c r="S179" s="60"/>
      <c r="T179" s="60"/>
      <c r="U179" s="166"/>
      <c r="V179" s="60"/>
      <c r="W179" s="60"/>
      <c r="X179" s="60"/>
      <c r="Y179" s="50"/>
      <c r="Z179" s="152"/>
      <c r="AA179" s="60"/>
      <c r="AB179" s="60"/>
      <c r="AC179" s="60"/>
      <c r="AD179" s="50"/>
      <c r="AE179" s="152"/>
      <c r="AF179" s="60"/>
      <c r="AG179" s="60"/>
      <c r="AH179" s="60"/>
      <c r="AI179" s="50"/>
      <c r="AJ179" s="152"/>
      <c r="AK179" s="6"/>
    </row>
    <row r="180" spans="2:37" ht="60" customHeight="1" x14ac:dyDescent="0.25">
      <c r="B180" s="35" t="str">
        <f>'1 lentelė'!$B179</f>
        <v>3.2.3.2.1</v>
      </c>
      <c r="C180" s="35" t="str">
        <f>'1 lentelė'!$C179</f>
        <v>R094408-252600-3217</v>
      </c>
      <c r="D180" s="35" t="str">
        <f>'1 lentelė'!$D179</f>
        <v>Socialinio būsto fondo plėtra Ignalinos rajono savivaldybėje</v>
      </c>
      <c r="E180" s="35" t="s">
        <v>65</v>
      </c>
      <c r="F180" s="146" t="s">
        <v>1011</v>
      </c>
      <c r="G180" s="347" t="str">
        <f>'2 lentelė'!E179</f>
        <v>P.S.362</v>
      </c>
      <c r="H180" s="32" t="str">
        <f>'2 lentelė'!F179</f>
        <v>Naujai įrengti ar įsigyti socialiniai būstai</v>
      </c>
      <c r="I180" s="176">
        <f>'2 lentelė'!G179</f>
        <v>21</v>
      </c>
      <c r="J180" s="29">
        <v>21</v>
      </c>
      <c r="K180" s="136">
        <v>16</v>
      </c>
      <c r="L180" s="133"/>
      <c r="M180" s="32"/>
      <c r="N180" s="32"/>
      <c r="O180" s="56"/>
      <c r="P180" s="160"/>
      <c r="Q180" s="135"/>
      <c r="R180" s="29"/>
      <c r="S180" s="29"/>
      <c r="T180" s="56"/>
      <c r="U180" s="160"/>
      <c r="V180" s="137"/>
      <c r="W180" s="37"/>
      <c r="X180" s="29"/>
      <c r="Y180" s="29"/>
      <c r="Z180" s="136"/>
      <c r="AA180" s="138"/>
      <c r="AB180" s="54"/>
      <c r="AC180" s="54"/>
      <c r="AD180" s="54"/>
      <c r="AE180" s="139"/>
      <c r="AF180" s="138"/>
      <c r="AG180" s="54"/>
      <c r="AH180" s="54"/>
      <c r="AI180" s="54"/>
      <c r="AJ180" s="139"/>
      <c r="AK180" s="6"/>
    </row>
    <row r="181" spans="2:37" ht="105" customHeight="1" x14ac:dyDescent="0.25">
      <c r="B181" s="35" t="str">
        <f>'1 lentelė'!$B180</f>
        <v>3.2.3.2.2</v>
      </c>
      <c r="C181" s="35" t="str">
        <f>'1 lentelė'!$C180</f>
        <v>R094408-250000-3218</v>
      </c>
      <c r="D181" s="35" t="str">
        <f>'1 lentelė'!$D180</f>
        <v>Bendrabučio tipo pastato, esančio Visagine,  Kosmoso 28, patalpų pritaikymas socialinio būsto įrengimui</v>
      </c>
      <c r="E181" s="35" t="s">
        <v>65</v>
      </c>
      <c r="F181" s="159" t="s">
        <v>1012</v>
      </c>
      <c r="G181" s="347" t="str">
        <f>'2 lentelė'!E180</f>
        <v>P.S.362</v>
      </c>
      <c r="H181" s="32" t="str">
        <f>'2 lentelė'!F180</f>
        <v>Naujai įrengti ar įsigyti socialiniai būstai</v>
      </c>
      <c r="I181" s="176">
        <f>'2 lentelė'!G180</f>
        <v>25</v>
      </c>
      <c r="J181" s="29">
        <v>25</v>
      </c>
      <c r="K181" s="136">
        <v>0</v>
      </c>
      <c r="L181" s="133"/>
      <c r="M181" s="32"/>
      <c r="N181" s="32"/>
      <c r="O181" s="56"/>
      <c r="P181" s="160"/>
      <c r="Q181" s="135"/>
      <c r="R181" s="29"/>
      <c r="S181" s="29"/>
      <c r="T181" s="56"/>
      <c r="U181" s="160"/>
      <c r="V181" s="137"/>
      <c r="W181" s="37"/>
      <c r="X181" s="29"/>
      <c r="Y181" s="29"/>
      <c r="Z181" s="136"/>
      <c r="AA181" s="138"/>
      <c r="AB181" s="54"/>
      <c r="AC181" s="54"/>
      <c r="AD181" s="54"/>
      <c r="AE181" s="139"/>
      <c r="AF181" s="138"/>
      <c r="AG181" s="54"/>
      <c r="AH181" s="54"/>
      <c r="AI181" s="54"/>
      <c r="AJ181" s="139"/>
      <c r="AK181" s="6"/>
    </row>
    <row r="182" spans="2:37" ht="61.5" customHeight="1" x14ac:dyDescent="0.25">
      <c r="B182" s="35" t="str">
        <f>'1 lentelė'!$B181</f>
        <v>3.2.3.2.3</v>
      </c>
      <c r="C182" s="35" t="str">
        <f>'1 lentelė'!$C181</f>
        <v>R094408-250000-3219</v>
      </c>
      <c r="D182" s="35" t="str">
        <f>'1 lentelė'!$D181</f>
        <v>Socialinio būsto fondo plėtra Anykščių rajono savivaldybėje</v>
      </c>
      <c r="E182" s="39" t="s">
        <v>66</v>
      </c>
      <c r="F182" s="159" t="s">
        <v>1013</v>
      </c>
      <c r="G182" s="347" t="str">
        <f>'2 lentelė'!E181</f>
        <v>P.S.362</v>
      </c>
      <c r="H182" s="32" t="str">
        <f>'2 lentelė'!F181</f>
        <v>Naujai įrengti ar įsigyti socialiniai būstai</v>
      </c>
      <c r="I182" s="176">
        <f>'2 lentelė'!G181</f>
        <v>20</v>
      </c>
      <c r="J182" s="32">
        <v>20</v>
      </c>
      <c r="K182" s="134">
        <v>9</v>
      </c>
      <c r="L182" s="133"/>
      <c r="M182" s="32"/>
      <c r="N182" s="32"/>
      <c r="O182" s="56"/>
      <c r="P182" s="160"/>
      <c r="Q182" s="135"/>
      <c r="R182" s="29"/>
      <c r="S182" s="29"/>
      <c r="T182" s="56"/>
      <c r="U182" s="160"/>
      <c r="V182" s="137"/>
      <c r="W182" s="37"/>
      <c r="X182" s="29"/>
      <c r="Y182" s="29"/>
      <c r="Z182" s="136"/>
      <c r="AA182" s="138"/>
      <c r="AB182" s="54"/>
      <c r="AC182" s="54"/>
      <c r="AD182" s="54"/>
      <c r="AE182" s="139"/>
      <c r="AF182" s="138"/>
      <c r="AG182" s="54"/>
      <c r="AH182" s="54"/>
      <c r="AI182" s="54"/>
      <c r="AJ182" s="139"/>
      <c r="AK182" s="6"/>
    </row>
    <row r="183" spans="2:37" ht="57" customHeight="1" x14ac:dyDescent="0.25">
      <c r="B183" s="35" t="str">
        <f>'1 lentelė'!$B182</f>
        <v>3.2.3.2.4</v>
      </c>
      <c r="C183" s="35" t="str">
        <f>'1 lentelė'!$C182</f>
        <v>R094408-262500-3220</v>
      </c>
      <c r="D183" s="35" t="str">
        <f>'1 lentelė'!$D182</f>
        <v>Socialinio būsto fondo plėtra Molėtų rajono savivaldybėje</v>
      </c>
      <c r="E183" s="39" t="s">
        <v>66</v>
      </c>
      <c r="F183" s="159" t="s">
        <v>1014</v>
      </c>
      <c r="G183" s="347" t="str">
        <f>'2 lentelė'!E182</f>
        <v>P.S.362</v>
      </c>
      <c r="H183" s="32" t="str">
        <f>'2 lentelė'!F182</f>
        <v>Naujai įrengti ar įsigyti socialiniai būstai</v>
      </c>
      <c r="I183" s="176">
        <f>'2 lentelė'!G182</f>
        <v>21</v>
      </c>
      <c r="J183" s="32">
        <v>21</v>
      </c>
      <c r="K183" s="134">
        <v>19</v>
      </c>
      <c r="L183" s="133"/>
      <c r="M183" s="32"/>
      <c r="N183" s="32"/>
      <c r="O183" s="56"/>
      <c r="P183" s="160"/>
      <c r="Q183" s="135"/>
      <c r="R183" s="29"/>
      <c r="S183" s="29"/>
      <c r="T183" s="56"/>
      <c r="U183" s="160"/>
      <c r="V183" s="137"/>
      <c r="W183" s="37"/>
      <c r="X183" s="29"/>
      <c r="Y183" s="29"/>
      <c r="Z183" s="136"/>
      <c r="AA183" s="138"/>
      <c r="AB183" s="54"/>
      <c r="AC183" s="54"/>
      <c r="AD183" s="54"/>
      <c r="AE183" s="139"/>
      <c r="AF183" s="138"/>
      <c r="AG183" s="54"/>
      <c r="AH183" s="54"/>
      <c r="AI183" s="54"/>
      <c r="AJ183" s="139"/>
      <c r="AK183" s="6"/>
    </row>
    <row r="184" spans="2:37" ht="54.75" customHeight="1" x14ac:dyDescent="0.25">
      <c r="B184" s="35" t="str">
        <f>'1 lentelė'!$B183</f>
        <v>3.2.3.2.5</v>
      </c>
      <c r="C184" s="35" t="str">
        <f>'1 lentelė'!$C183</f>
        <v>R094408-260000-3221</v>
      </c>
      <c r="D184" s="35" t="str">
        <f>'1 lentelė'!$D183</f>
        <v>Socialinio būsto fondo plėtra Zarasų rajono savivaldybėje</v>
      </c>
      <c r="E184" s="39" t="s">
        <v>66</v>
      </c>
      <c r="F184" s="159" t="s">
        <v>1015</v>
      </c>
      <c r="G184" s="347" t="str">
        <f>'2 lentelė'!E183</f>
        <v>P.S.362</v>
      </c>
      <c r="H184" s="32" t="str">
        <f>'2 lentelė'!F183</f>
        <v>Naujai įrengti ar įsigyti socialiniai būstai</v>
      </c>
      <c r="I184" s="176">
        <f>'2 lentelė'!G183</f>
        <v>31</v>
      </c>
      <c r="J184" s="32">
        <v>31</v>
      </c>
      <c r="K184" s="134">
        <v>31</v>
      </c>
      <c r="L184" s="133"/>
      <c r="M184" s="32"/>
      <c r="N184" s="32"/>
      <c r="O184" s="56"/>
      <c r="P184" s="160"/>
      <c r="Q184" s="135"/>
      <c r="R184" s="29"/>
      <c r="S184" s="29"/>
      <c r="T184" s="56"/>
      <c r="U184" s="160"/>
      <c r="V184" s="137"/>
      <c r="W184" s="37"/>
      <c r="X184" s="29"/>
      <c r="Y184" s="29"/>
      <c r="Z184" s="136"/>
      <c r="AA184" s="138"/>
      <c r="AB184" s="54"/>
      <c r="AC184" s="54"/>
      <c r="AD184" s="54"/>
      <c r="AE184" s="139"/>
      <c r="AF184" s="138"/>
      <c r="AG184" s="54"/>
      <c r="AH184" s="54"/>
      <c r="AI184" s="54"/>
      <c r="AJ184" s="139"/>
      <c r="AK184" s="6"/>
    </row>
    <row r="185" spans="2:37" ht="59.25" customHeight="1" x14ac:dyDescent="0.25">
      <c r="B185" s="35" t="str">
        <f>'1 lentelė'!$B184</f>
        <v>3.2.3.2.6</v>
      </c>
      <c r="C185" s="35" t="str">
        <f>'1 lentelė'!$C184</f>
        <v>R094408-260000-3222</v>
      </c>
      <c r="D185" s="35" t="str">
        <f>'1 lentelė'!$D184</f>
        <v>Socialinio būsto fondo plėtra Utenos rajono savivaldybėje</v>
      </c>
      <c r="E185" s="39" t="s">
        <v>66</v>
      </c>
      <c r="F185" s="159" t="s">
        <v>1016</v>
      </c>
      <c r="G185" s="347" t="str">
        <f>'2 lentelė'!E184</f>
        <v>P.S.362</v>
      </c>
      <c r="H185" s="32" t="str">
        <f>'2 lentelė'!F184</f>
        <v>Naujai įrengti ar įsigyti socialiniai būstai</v>
      </c>
      <c r="I185" s="176">
        <f>'2 lentelė'!G184</f>
        <v>20</v>
      </c>
      <c r="J185" s="58">
        <v>20</v>
      </c>
      <c r="K185" s="162">
        <v>20</v>
      </c>
      <c r="L185" s="133"/>
      <c r="M185" s="32"/>
      <c r="N185" s="32"/>
      <c r="O185" s="56"/>
      <c r="P185" s="160"/>
      <c r="Q185" s="135"/>
      <c r="R185" s="29"/>
      <c r="S185" s="29"/>
      <c r="T185" s="56"/>
      <c r="U185" s="160"/>
      <c r="V185" s="137"/>
      <c r="W185" s="37"/>
      <c r="X185" s="29"/>
      <c r="Y185" s="29"/>
      <c r="Z185" s="136"/>
      <c r="AA185" s="138"/>
      <c r="AB185" s="54"/>
      <c r="AC185" s="54"/>
      <c r="AD185" s="54"/>
      <c r="AE185" s="139"/>
      <c r="AF185" s="138"/>
      <c r="AG185" s="54"/>
      <c r="AH185" s="54"/>
      <c r="AI185" s="54"/>
      <c r="AJ185" s="139"/>
      <c r="AK185" s="6"/>
    </row>
    <row r="186" spans="2:37" ht="52.5" customHeight="1" x14ac:dyDescent="0.25">
      <c r="B186" s="71" t="str">
        <f>'1 lentelė'!$B185</f>
        <v>3.2.4</v>
      </c>
      <c r="C186" s="71"/>
      <c r="D186" s="70" t="str">
        <f>'1 lentelė'!$D185</f>
        <v>Uždavinys: Plėtoti kultūros paslaugas ir infrastruktūrą</v>
      </c>
      <c r="E186" s="71"/>
      <c r="F186" s="151"/>
      <c r="G186" s="71"/>
      <c r="H186" s="71"/>
      <c r="I186" s="71"/>
      <c r="J186" s="71"/>
      <c r="K186" s="151"/>
      <c r="L186" s="71"/>
      <c r="M186" s="71"/>
      <c r="N186" s="71"/>
      <c r="O186" s="71"/>
      <c r="P186" s="151"/>
      <c r="Q186" s="71"/>
      <c r="R186" s="71"/>
      <c r="S186" s="71"/>
      <c r="T186" s="71"/>
      <c r="U186" s="174"/>
      <c r="V186" s="71"/>
      <c r="W186" s="71"/>
      <c r="X186" s="71"/>
      <c r="Y186" s="48"/>
      <c r="Z186" s="151"/>
      <c r="AA186" s="71"/>
      <c r="AB186" s="71"/>
      <c r="AC186" s="71"/>
      <c r="AD186" s="48"/>
      <c r="AE186" s="151"/>
      <c r="AF186" s="71"/>
      <c r="AG186" s="71"/>
      <c r="AH186" s="71"/>
      <c r="AI186" s="48"/>
      <c r="AJ186" s="151"/>
      <c r="AK186" s="6"/>
    </row>
    <row r="187" spans="2:37" ht="66.75" customHeight="1" x14ac:dyDescent="0.25">
      <c r="B187" s="60" t="str">
        <f>'1 lentelė'!$B186</f>
        <v>3.2.4.1</v>
      </c>
      <c r="C187" s="60"/>
      <c r="D187" s="91" t="str">
        <f>'1 lentelė'!$D186</f>
        <v>Priemonė: Modernizuoti savivaldybių kultūros infrastuktūrą</v>
      </c>
      <c r="E187" s="60"/>
      <c r="F187" s="152"/>
      <c r="G187" s="60"/>
      <c r="H187" s="60"/>
      <c r="I187" s="60"/>
      <c r="J187" s="60"/>
      <c r="K187" s="152"/>
      <c r="L187" s="60"/>
      <c r="M187" s="60"/>
      <c r="N187" s="60"/>
      <c r="O187" s="60"/>
      <c r="P187" s="152"/>
      <c r="Q187" s="60"/>
      <c r="R187" s="60"/>
      <c r="S187" s="60"/>
      <c r="T187" s="60"/>
      <c r="U187" s="166"/>
      <c r="V187" s="60"/>
      <c r="W187" s="60"/>
      <c r="X187" s="60"/>
      <c r="Y187" s="50"/>
      <c r="Z187" s="152"/>
      <c r="AA187" s="60"/>
      <c r="AB187" s="60"/>
      <c r="AC187" s="60"/>
      <c r="AD187" s="50"/>
      <c r="AE187" s="152"/>
      <c r="AF187" s="60"/>
      <c r="AG187" s="60"/>
      <c r="AH187" s="60"/>
      <c r="AI187" s="50"/>
      <c r="AJ187" s="152"/>
      <c r="AK187" s="6"/>
    </row>
    <row r="188" spans="2:37" ht="114" customHeight="1" x14ac:dyDescent="0.25">
      <c r="B188" s="35" t="str">
        <f>'1 lentelė'!$B187</f>
        <v>3.2.4.1.1</v>
      </c>
      <c r="C188" s="35" t="str">
        <f>'1 lentelė'!$C187</f>
        <v>R093305-330000-3223</v>
      </c>
      <c r="D188" s="35" t="str">
        <f>'1 lentelė'!$D187</f>
        <v xml:space="preserve">Ignalinos rajono savivaldybės viešosios bibliotekos infrastruktūros pritaikymas vietos bendruomenės poreikiams </v>
      </c>
      <c r="E188" s="35" t="s">
        <v>65</v>
      </c>
      <c r="F188" s="184" t="s">
        <v>1017</v>
      </c>
      <c r="G188" s="347" t="str">
        <f>'2 lentelė'!E187</f>
        <v>P.N.304</v>
      </c>
      <c r="H188" s="32" t="str">
        <f>'2 lentelė'!F187</f>
        <v>Modernizuoti kultūros infrastruktūros objektai, skaičius</v>
      </c>
      <c r="I188" s="176">
        <f>'2 lentelė'!G187</f>
        <v>1</v>
      </c>
      <c r="J188" s="58">
        <v>1</v>
      </c>
      <c r="K188" s="162">
        <v>1</v>
      </c>
      <c r="L188" s="133"/>
      <c r="M188" s="32"/>
      <c r="N188" s="32"/>
      <c r="O188" s="56"/>
      <c r="P188" s="160"/>
      <c r="Q188" s="135"/>
      <c r="R188" s="29"/>
      <c r="S188" s="29"/>
      <c r="T188" s="56"/>
      <c r="U188" s="160"/>
      <c r="V188" s="137"/>
      <c r="W188" s="37"/>
      <c r="X188" s="29"/>
      <c r="Y188" s="29"/>
      <c r="Z188" s="136"/>
      <c r="AA188" s="138"/>
      <c r="AB188" s="54"/>
      <c r="AC188" s="54"/>
      <c r="AD188" s="54"/>
      <c r="AE188" s="139"/>
      <c r="AF188" s="138"/>
      <c r="AG188" s="54"/>
      <c r="AH188" s="54"/>
      <c r="AI188" s="54"/>
      <c r="AJ188" s="139"/>
      <c r="AK188" s="6"/>
    </row>
    <row r="189" spans="2:37" ht="67.5" customHeight="1" x14ac:dyDescent="0.25">
      <c r="B189" s="35" t="str">
        <f>'1 lentelė'!$B188</f>
        <v>3.2.4.1.2</v>
      </c>
      <c r="C189" s="35" t="str">
        <f>'1 lentelė'!$C188</f>
        <v>R093305-334300-3224</v>
      </c>
      <c r="D189" s="35" t="str">
        <f>'1 lentelė'!$D188</f>
        <v>Renginių infrastruktūros atnaujinimas Zarasų miesto Didžiojoje saloje</v>
      </c>
      <c r="E189" s="35" t="s">
        <v>65</v>
      </c>
      <c r="F189" s="184" t="s">
        <v>1018</v>
      </c>
      <c r="G189" s="347" t="str">
        <f>'2 lentelė'!E188</f>
        <v>P.N.304</v>
      </c>
      <c r="H189" s="32" t="str">
        <f>'2 lentelė'!F188</f>
        <v>Modernizuoti kultūros infrastruktūros objektai, skaičius</v>
      </c>
      <c r="I189" s="176">
        <f>'2 lentelė'!G188</f>
        <v>1</v>
      </c>
      <c r="J189" s="58">
        <v>1</v>
      </c>
      <c r="K189" s="162">
        <v>0</v>
      </c>
      <c r="L189" s="133"/>
      <c r="M189" s="32"/>
      <c r="N189" s="32"/>
      <c r="O189" s="56"/>
      <c r="P189" s="160"/>
      <c r="Q189" s="135"/>
      <c r="R189" s="29"/>
      <c r="S189" s="29"/>
      <c r="T189" s="56"/>
      <c r="U189" s="160"/>
      <c r="V189" s="137"/>
      <c r="W189" s="37"/>
      <c r="X189" s="29"/>
      <c r="Y189" s="29"/>
      <c r="Z189" s="136"/>
      <c r="AA189" s="138"/>
      <c r="AB189" s="54"/>
      <c r="AC189" s="54"/>
      <c r="AD189" s="54"/>
      <c r="AE189" s="139"/>
      <c r="AF189" s="138"/>
      <c r="AG189" s="54"/>
      <c r="AH189" s="54"/>
      <c r="AI189" s="54"/>
      <c r="AJ189" s="139"/>
      <c r="AK189" s="6"/>
    </row>
    <row r="190" spans="2:37" ht="90.75" customHeight="1" x14ac:dyDescent="0.25">
      <c r="B190" s="35" t="str">
        <f>'1 lentelė'!$B189</f>
        <v>3.2.4.1.3</v>
      </c>
      <c r="C190" s="35" t="str">
        <f>'1 lentelė'!$C189</f>
        <v>R093305-330000-3225</v>
      </c>
      <c r="D190" s="35" t="str">
        <f>'1 lentelė'!$D189</f>
        <v>Molėtų miesto laisvalaikio ir pramogų infrastruktūros atnaujinimas ir plėtra Labanoro g. 1b, Molėtai</v>
      </c>
      <c r="E190" s="35" t="s">
        <v>65</v>
      </c>
      <c r="F190" s="184" t="s">
        <v>1019</v>
      </c>
      <c r="G190" s="347" t="str">
        <f>'2 lentelė'!E189</f>
        <v>P.N.304</v>
      </c>
      <c r="H190" s="32" t="str">
        <f>'2 lentelė'!F189</f>
        <v>Modernizuoti kultūros infrastruktūros objektai, skaičius</v>
      </c>
      <c r="I190" s="176">
        <f>'2 lentelė'!G189</f>
        <v>1</v>
      </c>
      <c r="J190" s="58">
        <v>1</v>
      </c>
      <c r="K190" s="162">
        <v>1</v>
      </c>
      <c r="L190" s="133"/>
      <c r="M190" s="32"/>
      <c r="N190" s="32"/>
      <c r="O190" s="56"/>
      <c r="P190" s="160"/>
      <c r="Q190" s="135"/>
      <c r="R190" s="29"/>
      <c r="S190" s="29"/>
      <c r="T190" s="56"/>
      <c r="U190" s="160"/>
      <c r="V190" s="137"/>
      <c r="W190" s="37"/>
      <c r="X190" s="29"/>
      <c r="Y190" s="29"/>
      <c r="Z190" s="136"/>
      <c r="AA190" s="138"/>
      <c r="AB190" s="54"/>
      <c r="AC190" s="54"/>
      <c r="AD190" s="54"/>
      <c r="AE190" s="139"/>
      <c r="AF190" s="138"/>
      <c r="AG190" s="54"/>
      <c r="AH190" s="54"/>
      <c r="AI190" s="54"/>
      <c r="AJ190" s="139"/>
      <c r="AK190" s="6"/>
    </row>
    <row r="191" spans="2:37" ht="178.5" customHeight="1" x14ac:dyDescent="0.25">
      <c r="B191" s="35" t="str">
        <f>'1 lentelė'!$B190</f>
        <v>3.2.4.1.4</v>
      </c>
      <c r="C191" s="35" t="str">
        <f>'1 lentelė'!$C190</f>
        <v>R093305-330000-3226</v>
      </c>
      <c r="D191" s="35" t="str">
        <f>'1 lentelė'!$D190</f>
        <v>Buvusios Sedulinos mokyklos pastato pritaikymas Visagino kultūros centro ir bendruomenės reikmėms, įrengiant Kultūros, turizmo ir kūrybinio verslo miestą po vienu stogu.</v>
      </c>
      <c r="E191" s="35" t="s">
        <v>65</v>
      </c>
      <c r="F191" s="184" t="s">
        <v>1020</v>
      </c>
      <c r="G191" s="347" t="str">
        <f>'2 lentelė'!E190</f>
        <v>P.N.304</v>
      </c>
      <c r="H191" s="32" t="str">
        <f>'2 lentelė'!F190</f>
        <v>Modernizuoti kultūros infrastruktūros objektai, skaičius</v>
      </c>
      <c r="I191" s="176">
        <f>'2 lentelė'!G190</f>
        <v>1</v>
      </c>
      <c r="J191" s="58">
        <v>1</v>
      </c>
      <c r="K191" s="162">
        <v>0</v>
      </c>
      <c r="L191" s="133"/>
      <c r="M191" s="32"/>
      <c r="N191" s="32"/>
      <c r="O191" s="56"/>
      <c r="P191" s="160"/>
      <c r="Q191" s="135"/>
      <c r="R191" s="29"/>
      <c r="S191" s="29"/>
      <c r="T191" s="56"/>
      <c r="U191" s="160"/>
      <c r="V191" s="137"/>
      <c r="W191" s="37"/>
      <c r="X191" s="29"/>
      <c r="Y191" s="29"/>
      <c r="Z191" s="136"/>
      <c r="AA191" s="138"/>
      <c r="AB191" s="54"/>
      <c r="AC191" s="54"/>
      <c r="AD191" s="54"/>
      <c r="AE191" s="139"/>
      <c r="AF191" s="138"/>
      <c r="AG191" s="54"/>
      <c r="AH191" s="54"/>
      <c r="AI191" s="54"/>
      <c r="AJ191" s="139"/>
      <c r="AK191" s="6"/>
    </row>
    <row r="192" spans="2:37" ht="78" customHeight="1" x14ac:dyDescent="0.25">
      <c r="B192" s="35" t="str">
        <f>'1 lentelė'!$B191</f>
        <v>3.2.4.1.5</v>
      </c>
      <c r="C192" s="35" t="str">
        <f>'1 lentelė'!$C191</f>
        <v>R093305-330000-3227</v>
      </c>
      <c r="D192" s="35" t="str">
        <f>'1 lentelė'!$D191</f>
        <v>Lietuvos etnokosmologijos muziejaus paslaugų plėtros baigiamasis etapas</v>
      </c>
      <c r="E192" s="35" t="s">
        <v>65</v>
      </c>
      <c r="F192" s="184" t="s">
        <v>1021</v>
      </c>
      <c r="G192" s="347" t="str">
        <f>'2 lentelė'!E191</f>
        <v>P.N.304</v>
      </c>
      <c r="H192" s="32" t="str">
        <f>'2 lentelė'!F191</f>
        <v>Modernizuoti kultūros infrastruktūros objektai, skaičius</v>
      </c>
      <c r="I192" s="176">
        <f>'2 lentelė'!G191</f>
        <v>1</v>
      </c>
      <c r="J192" s="58">
        <v>1</v>
      </c>
      <c r="K192" s="162">
        <v>0</v>
      </c>
      <c r="L192" s="133"/>
      <c r="M192" s="32"/>
      <c r="N192" s="32"/>
      <c r="O192" s="56" t="s">
        <v>220</v>
      </c>
      <c r="P192" s="160"/>
      <c r="Q192" s="135"/>
      <c r="R192" s="29"/>
      <c r="S192" s="29"/>
      <c r="T192" s="56"/>
      <c r="U192" s="160"/>
      <c r="V192" s="137"/>
      <c r="W192" s="37"/>
      <c r="X192" s="29"/>
      <c r="Y192" s="29"/>
      <c r="Z192" s="136"/>
      <c r="AA192" s="138"/>
      <c r="AB192" s="54"/>
      <c r="AC192" s="54"/>
      <c r="AD192" s="54"/>
      <c r="AE192" s="139"/>
      <c r="AF192" s="138"/>
      <c r="AG192" s="54"/>
      <c r="AH192" s="54"/>
      <c r="AI192" s="54"/>
      <c r="AJ192" s="139"/>
      <c r="AK192" s="6"/>
    </row>
    <row r="193" spans="2:41" ht="63" customHeight="1" x14ac:dyDescent="0.25">
      <c r="B193" s="35" t="str">
        <f>'1 lentelė'!$B192</f>
        <v>3.2.4.1.6</v>
      </c>
      <c r="C193" s="35" t="str">
        <f>'1 lentelė'!$C192</f>
        <v>R093305-330000-3228</v>
      </c>
      <c r="D193" s="35" t="str">
        <f>'1 lentelė'!$D192</f>
        <v>Utenos A. ir M. Miškinių viešosios bibliotekos modernizavimas</v>
      </c>
      <c r="E193" s="35" t="s">
        <v>65</v>
      </c>
      <c r="F193" s="184" t="s">
        <v>1022</v>
      </c>
      <c r="G193" s="347" t="str">
        <f>'2 lentelė'!E192</f>
        <v>P.N.304</v>
      </c>
      <c r="H193" s="32" t="str">
        <f>'2 lentelė'!F192</f>
        <v>Modernizuoti kultūros infrastruktūros objektai, skaičius</v>
      </c>
      <c r="I193" s="176">
        <f>'2 lentelė'!G192</f>
        <v>1</v>
      </c>
      <c r="J193" s="58">
        <v>1</v>
      </c>
      <c r="K193" s="162">
        <v>1</v>
      </c>
      <c r="L193" s="133"/>
      <c r="M193" s="32"/>
      <c r="N193" s="32"/>
      <c r="O193" s="56"/>
      <c r="P193" s="160"/>
      <c r="Q193" s="135"/>
      <c r="R193" s="29"/>
      <c r="S193" s="29"/>
      <c r="T193" s="56"/>
      <c r="U193" s="160"/>
      <c r="V193" s="137"/>
      <c r="W193" s="37"/>
      <c r="X193" s="29"/>
      <c r="Y193" s="29"/>
      <c r="Z193" s="136"/>
      <c r="AA193" s="138"/>
      <c r="AB193" s="54"/>
      <c r="AC193" s="54"/>
      <c r="AD193" s="54"/>
      <c r="AE193" s="139"/>
      <c r="AF193" s="138"/>
      <c r="AG193" s="54"/>
      <c r="AH193" s="54"/>
      <c r="AI193" s="54"/>
      <c r="AJ193" s="139"/>
      <c r="AK193" s="6"/>
    </row>
    <row r="194" spans="2:41" ht="45" customHeight="1" x14ac:dyDescent="0.25">
      <c r="B194" s="70" t="str">
        <f>'1 lentelė'!$B193</f>
        <v>3.2.5</v>
      </c>
      <c r="C194" s="70"/>
      <c r="D194" s="70" t="str">
        <f>'1 lentelė'!$D193</f>
        <v>Uždavinys: Gerinti viešąjį valdymą</v>
      </c>
      <c r="E194" s="70"/>
      <c r="F194" s="151"/>
      <c r="G194" s="70"/>
      <c r="H194" s="70"/>
      <c r="I194" s="70"/>
      <c r="J194" s="70"/>
      <c r="K194" s="151"/>
      <c r="L194" s="70"/>
      <c r="M194" s="70"/>
      <c r="N194" s="70"/>
      <c r="O194" s="70"/>
      <c r="P194" s="151"/>
      <c r="Q194" s="70"/>
      <c r="R194" s="70"/>
      <c r="S194" s="70"/>
      <c r="T194" s="70"/>
      <c r="U194" s="173"/>
      <c r="V194" s="70"/>
      <c r="W194" s="70"/>
      <c r="X194" s="70"/>
      <c r="Y194" s="48"/>
      <c r="Z194" s="151"/>
      <c r="AA194" s="70"/>
      <c r="AB194" s="70"/>
      <c r="AC194" s="70"/>
      <c r="AD194" s="48"/>
      <c r="AE194" s="151"/>
      <c r="AF194" s="70"/>
      <c r="AG194" s="70"/>
      <c r="AH194" s="70"/>
      <c r="AI194" s="48"/>
      <c r="AJ194" s="151"/>
      <c r="AK194" s="6"/>
    </row>
    <row r="195" spans="2:41" ht="95.25" customHeight="1" x14ac:dyDescent="0.25">
      <c r="B195" s="60" t="str">
        <f>'1 lentelė'!$B194</f>
        <v>3.2.5.1</v>
      </c>
      <c r="C195" s="60"/>
      <c r="D195" s="185" t="str">
        <f>'1 lentelė'!$D194</f>
        <v>Priemonė: Paslaugų ir asmenų aptarnavimo kokybės gerinimas savivaldybėse</v>
      </c>
      <c r="E195" s="60"/>
      <c r="F195" s="152"/>
      <c r="G195" s="60"/>
      <c r="H195" s="60"/>
      <c r="I195" s="60"/>
      <c r="J195" s="60"/>
      <c r="K195" s="152"/>
      <c r="L195" s="60"/>
      <c r="M195" s="60"/>
      <c r="N195" s="60"/>
      <c r="O195" s="60"/>
      <c r="P195" s="152"/>
      <c r="Q195" s="60"/>
      <c r="R195" s="60"/>
      <c r="S195" s="60"/>
      <c r="T195" s="60"/>
      <c r="U195" s="166"/>
      <c r="V195" s="60"/>
      <c r="W195" s="60"/>
      <c r="X195" s="60"/>
      <c r="Y195" s="50"/>
      <c r="Z195" s="152"/>
      <c r="AA195" s="60"/>
      <c r="AB195" s="60"/>
      <c r="AC195" s="60"/>
      <c r="AD195" s="50"/>
      <c r="AE195" s="152"/>
      <c r="AF195" s="60"/>
      <c r="AG195" s="60"/>
      <c r="AH195" s="60"/>
      <c r="AI195" s="50"/>
      <c r="AJ195" s="152"/>
      <c r="AK195" s="6"/>
    </row>
    <row r="196" spans="2:41" ht="169.5" customHeight="1" x14ac:dyDescent="0.25">
      <c r="B196" s="35" t="str">
        <f>'1 lentelė'!$B195</f>
        <v>3.2.5.1.1</v>
      </c>
      <c r="C196" s="35" t="str">
        <f>'1 lentelė'!$C195</f>
        <v>R099920-490000-3229</v>
      </c>
      <c r="D196" s="35" t="str">
        <f>'1 lentelė'!$D195</f>
        <v>Paslaugų ir asmenų aptarnavimo kokybės gerinimas Visagino  savivaldybėje</v>
      </c>
      <c r="E196" s="39" t="s">
        <v>66</v>
      </c>
      <c r="F196" s="39" t="s">
        <v>1023</v>
      </c>
      <c r="G196" s="347" t="str">
        <f>'2 lentelė'!E195</f>
        <v>P.S.415</v>
      </c>
      <c r="H196" s="32" t="str">
        <f>'2 lentelė'!F195</f>
        <v>Viešojo valdymo institucijos, pagal veiksmų programą ESF lėšomis įgyvendinusios paslaugų ir (ar) aptarnavimo kokybei gerinti skirtas priemones</v>
      </c>
      <c r="I196" s="176">
        <f>'2 lentelė'!G195</f>
        <v>1</v>
      </c>
      <c r="J196" s="32">
        <v>1</v>
      </c>
      <c r="K196" s="134">
        <v>0</v>
      </c>
      <c r="L196" s="347" t="str">
        <f>'2 lentelė'!H195</f>
        <v>P.S.416</v>
      </c>
      <c r="M196" s="32" t="str">
        <f>'2 lentelė'!I195</f>
        <v>Viešojo valdymo institucijų darbuotojai, kurie dalyvavo pagal veiksmų programą ESF lėšomis vykdytose veiklose, skirtose stiprinti teikiamų paslaugų ir (ar) aptarnavimo kokybės gerinimu reikalingas kompetencijas</v>
      </c>
      <c r="N196" s="176">
        <f>'2 lentelė'!J195</f>
        <v>75</v>
      </c>
      <c r="O196" s="32">
        <v>75</v>
      </c>
      <c r="P196" s="134">
        <v>0</v>
      </c>
      <c r="Q196" s="348" t="str">
        <f>'2 lentelė'!K195</f>
        <v>P.N.910</v>
      </c>
      <c r="R196" s="29" t="str">
        <f>'2 lentelė'!L195</f>
        <v>Parengtos piliečių chartijos</v>
      </c>
      <c r="S196" s="283">
        <f>'2 lentelė'!M195</f>
        <v>1</v>
      </c>
      <c r="T196" s="58">
        <v>1</v>
      </c>
      <c r="U196" s="162">
        <v>0</v>
      </c>
      <c r="V196" s="273"/>
      <c r="W196" s="29"/>
      <c r="X196" s="29"/>
      <c r="Y196" s="72"/>
      <c r="Z196" s="58"/>
      <c r="AA196" s="138"/>
      <c r="AB196" s="54"/>
      <c r="AC196" s="54"/>
      <c r="AD196" s="75"/>
      <c r="AE196" s="142"/>
      <c r="AF196" s="138"/>
      <c r="AG196" s="54"/>
      <c r="AH196" s="54"/>
      <c r="AI196" s="75"/>
      <c r="AJ196" s="142"/>
      <c r="AK196" s="33"/>
    </row>
    <row r="197" spans="2:41" ht="271.5" customHeight="1" x14ac:dyDescent="0.25">
      <c r="B197" s="35" t="str">
        <f>'1 lentelė'!$B196</f>
        <v>3.2.5.1.2</v>
      </c>
      <c r="C197" s="35" t="str">
        <f>'1 lentelė'!$C196</f>
        <v>R099920-490000-3230</v>
      </c>
      <c r="D197" s="35" t="str">
        <f>'1 lentelė'!$D196</f>
        <v>Paslaugų ir asmenų aptarnavimo kokybės gerinimas Molėtų rajono savivaldybėje</v>
      </c>
      <c r="E197" s="39" t="s">
        <v>66</v>
      </c>
      <c r="F197" s="39" t="s">
        <v>1024</v>
      </c>
      <c r="G197" s="347" t="str">
        <f>'2 lentelė'!E196</f>
        <v>P.S.415</v>
      </c>
      <c r="H197" s="32" t="str">
        <f>'2 lentelė'!F196</f>
        <v>Viešojo valdymo institucijos, pagal veiksmų programą ESF lėšomis įgyvendinusios paslaugų ir (ar) aptarnavimo kokybei gerinti skirtas priemones</v>
      </c>
      <c r="I197" s="176">
        <f>'2 lentelė'!G196</f>
        <v>1</v>
      </c>
      <c r="J197" s="32">
        <v>1</v>
      </c>
      <c r="K197" s="134">
        <v>0</v>
      </c>
      <c r="L197" s="347" t="str">
        <f>'2 lentelė'!H196</f>
        <v>P.S.416</v>
      </c>
      <c r="M197" s="32" t="str">
        <f>'2 lentelė'!I196</f>
        <v>Viešojo valdymo institucijų darbuotojai, kurie dalyvavo pagal veiksmų programą ESF lėšomis vykdytose veiklose, skirtose stiprinti teikiamų paslaugų ir (ar) aptarnavimo kokybės gerinimu reikalingas kompetencijas</v>
      </c>
      <c r="N197" s="176">
        <f>'2 lentelė'!J196</f>
        <v>40</v>
      </c>
      <c r="O197" s="32">
        <v>40</v>
      </c>
      <c r="P197" s="134">
        <v>85</v>
      </c>
      <c r="Q197" s="348"/>
      <c r="R197" s="29"/>
      <c r="S197" s="283"/>
      <c r="T197" s="72"/>
      <c r="U197" s="58"/>
      <c r="V197" s="137"/>
      <c r="W197" s="37"/>
      <c r="X197" s="29"/>
      <c r="Y197" s="72"/>
      <c r="Z197" s="177"/>
      <c r="AA197" s="138"/>
      <c r="AB197" s="54"/>
      <c r="AC197" s="54"/>
      <c r="AD197" s="75"/>
      <c r="AE197" s="142"/>
      <c r="AF197" s="138"/>
      <c r="AG197" s="54"/>
      <c r="AH197" s="54"/>
      <c r="AI197" s="75"/>
      <c r="AJ197" s="142"/>
      <c r="AK197" s="33"/>
    </row>
    <row r="198" spans="2:41" ht="270" customHeight="1" x14ac:dyDescent="0.25">
      <c r="B198" s="35" t="str">
        <f>'1 lentelė'!$B197</f>
        <v xml:space="preserve"> 3.2.5.1.3</v>
      </c>
      <c r="C198" s="35" t="str">
        <f>'1 lentelė'!$C197</f>
        <v>R099920-490000-3231</v>
      </c>
      <c r="D198" s="35" t="str">
        <f>'1 lentelė'!$D197</f>
        <v>Paslaugų ir asmenų aptarnavimo kokybės gerinimas Zarasų rajono savivaldybėje</v>
      </c>
      <c r="E198" s="39" t="s">
        <v>66</v>
      </c>
      <c r="F198" s="39" t="s">
        <v>1025</v>
      </c>
      <c r="G198" s="347" t="str">
        <f>'2 lentelė'!E197</f>
        <v>P.S.415</v>
      </c>
      <c r="H198" s="32" t="str">
        <f>'2 lentelė'!F197</f>
        <v>Viešojo valdymo institucijos, pagal veiksmų programą ESF lėšomis įgyvendinusios paslaugų ir (ar) aptarnavimo kokybei gerinti skirtas priemones</v>
      </c>
      <c r="I198" s="176">
        <f>'2 lentelė'!G197</f>
        <v>13</v>
      </c>
      <c r="J198" s="32">
        <v>13</v>
      </c>
      <c r="K198" s="134">
        <v>0</v>
      </c>
      <c r="L198" s="347" t="str">
        <f>'2 lentelė'!H197</f>
        <v>P.S.416</v>
      </c>
      <c r="M198" s="32" t="str">
        <f>'2 lentelė'!I197</f>
        <v>Viešojo valdymo institucijų darbuotojai, kurie dalyvavo pagal veiksmų programą ESF lėšomis vykdytose veiklose, skirtose stiprinti teikiamų paslaugų ir (ar) aptarnavimo kokybės gerinimu reikalingas kompetencijas</v>
      </c>
      <c r="N198" s="176">
        <f>'2 lentelė'!J197</f>
        <v>25</v>
      </c>
      <c r="O198" s="32">
        <v>25</v>
      </c>
      <c r="P198" s="134">
        <v>29</v>
      </c>
      <c r="Q198" s="135" t="str">
        <f>'2 lentelė'!$K195</f>
        <v>P.N.910</v>
      </c>
      <c r="R198" s="29" t="str">
        <f>'2 lentelė'!$L195</f>
        <v>Parengtos piliečių chartijos</v>
      </c>
      <c r="S198" s="29">
        <f>'2 lentelė'!$M195</f>
        <v>1</v>
      </c>
      <c r="T198" s="58">
        <v>1</v>
      </c>
      <c r="U198" s="162">
        <v>1</v>
      </c>
      <c r="V198" s="135"/>
      <c r="W198" s="29"/>
      <c r="X198" s="29"/>
      <c r="Y198" s="72"/>
      <c r="Z198" s="58"/>
      <c r="AA198" s="138"/>
      <c r="AB198" s="54"/>
      <c r="AC198" s="54"/>
      <c r="AD198" s="75"/>
      <c r="AE198" s="142"/>
      <c r="AF198" s="138"/>
      <c r="AG198" s="54"/>
      <c r="AH198" s="54"/>
      <c r="AI198" s="75"/>
      <c r="AJ198" s="142"/>
      <c r="AK198" s="33"/>
    </row>
    <row r="199" spans="2:41" ht="269.25" customHeight="1" x14ac:dyDescent="0.25">
      <c r="B199" s="35" t="str">
        <f>'1 lentelė'!$B198</f>
        <v>3.2.5.1.4</v>
      </c>
      <c r="C199" s="35" t="str">
        <f>'1 lentelė'!$C198</f>
        <v>R099920-490000-3232</v>
      </c>
      <c r="D199" s="35" t="str">
        <f>'1 lentelė'!$D198</f>
        <v>Paslaugų ir asmenų aptarnavimo kokybės gerinimas Utenos rajono savivaldybėje, I etapas</v>
      </c>
      <c r="E199" s="39" t="s">
        <v>66</v>
      </c>
      <c r="F199" s="39" t="s">
        <v>1026</v>
      </c>
      <c r="G199" s="347" t="str">
        <f>'2 lentelė'!E198</f>
        <v>P.S.415</v>
      </c>
      <c r="H199" s="32" t="str">
        <f>'2 lentelė'!F198</f>
        <v>Viešojo valdymo institucijos, pagal veiksmų programą ESF lėšomis įgyvendinusios paslaugų ir (ar) aptarnavimo kokybei gerinti skirtas priemones</v>
      </c>
      <c r="I199" s="176">
        <f>'2 lentelė'!G198</f>
        <v>3</v>
      </c>
      <c r="J199" s="32">
        <v>3</v>
      </c>
      <c r="K199" s="134">
        <v>3</v>
      </c>
      <c r="L199" s="347" t="str">
        <f>'2 lentelė'!H198</f>
        <v>P.S.416</v>
      </c>
      <c r="M199" s="32" t="str">
        <f>'2 lentelė'!I198</f>
        <v>Viešojo valdymo institucijų darbuotojai, kurie dalyvavo pagal veiksmų programą  ESF lėšomis vykdytose veiklose, skirtose stiprinti teikiamų paslaugų ir (ar) aptarnavimo kokybės gerinimui reikalingas kompetencijas</v>
      </c>
      <c r="N199" s="176">
        <f>'2 lentelė'!J198</f>
        <v>15</v>
      </c>
      <c r="O199" s="32">
        <v>15</v>
      </c>
      <c r="P199" s="134">
        <v>19</v>
      </c>
      <c r="Q199" s="135"/>
      <c r="R199" s="29"/>
      <c r="S199" s="29"/>
      <c r="T199" s="72"/>
      <c r="U199" s="58"/>
      <c r="V199" s="135"/>
      <c r="W199" s="29"/>
      <c r="X199" s="29"/>
      <c r="Y199" s="72"/>
      <c r="Z199" s="177"/>
      <c r="AA199" s="138"/>
      <c r="AB199" s="54"/>
      <c r="AC199" s="54"/>
      <c r="AD199" s="75"/>
      <c r="AE199" s="142"/>
      <c r="AF199" s="138"/>
      <c r="AG199" s="54"/>
      <c r="AH199" s="54"/>
      <c r="AI199" s="75"/>
      <c r="AJ199" s="142"/>
      <c r="AK199" s="33"/>
    </row>
    <row r="200" spans="2:41" ht="268.5" customHeight="1" x14ac:dyDescent="0.25">
      <c r="B200" s="35" t="str">
        <f>'1 lentelė'!$B199</f>
        <v xml:space="preserve"> 3.2.5.1.5</v>
      </c>
      <c r="C200" s="35" t="str">
        <f>'1 lentelė'!$C199</f>
        <v>R099920-490000-3233</v>
      </c>
      <c r="D200" s="35" t="str">
        <f>'1 lentelė'!$D199</f>
        <v>Paslaugų ir asmenų aptarnavimo kokybės gerinimas Anykščių savivaldybėje</v>
      </c>
      <c r="E200" s="39" t="s">
        <v>66</v>
      </c>
      <c r="F200" s="39" t="s">
        <v>1027</v>
      </c>
      <c r="G200" s="347" t="str">
        <f>'2 lentelė'!E199</f>
        <v>P.S.415</v>
      </c>
      <c r="H200" s="32" t="str">
        <f>'2 lentelė'!F199</f>
        <v>Viešojo valdymo institucijos, pagal veiksmų programą ESF lėšomis įgyvendinusios paslaugų ir (ar) aptarnavimo kokybei gerinti skirtas priemones</v>
      </c>
      <c r="I200" s="176">
        <f>'2 lentelė'!G199</f>
        <v>2</v>
      </c>
      <c r="J200" s="32">
        <v>2</v>
      </c>
      <c r="K200" s="134">
        <v>0</v>
      </c>
      <c r="L200" s="347" t="str">
        <f>'2 lentelė'!H199</f>
        <v>P.S.416</v>
      </c>
      <c r="M200" s="32" t="str">
        <f>'2 lentelė'!I199</f>
        <v>Viešojo valdymo institucijų darbuotojai, kurie dalyvavo pagal veiksmų programą  ESF lėšomis vykdytose veiklose, skirtose stiprinti teikiamų paslaugų ir (ar) aptarnavimo kokybės gerinimui reikalingas kompetencijas</v>
      </c>
      <c r="N200" s="176">
        <f>'2 lentelė'!J199</f>
        <v>36</v>
      </c>
      <c r="O200" s="32">
        <v>36</v>
      </c>
      <c r="P200" s="134">
        <v>71</v>
      </c>
      <c r="Q200" s="135" t="str">
        <f>'2 lentelė'!$K197</f>
        <v>P.N.910</v>
      </c>
      <c r="R200" s="29" t="str">
        <f>'2 lentelė'!$L197</f>
        <v>Parengtos piliečių chartijos</v>
      </c>
      <c r="S200" s="29">
        <f>'2 lentelė'!$M197</f>
        <v>1</v>
      </c>
      <c r="T200" s="58">
        <v>1</v>
      </c>
      <c r="U200" s="162">
        <v>0</v>
      </c>
      <c r="V200" s="273"/>
      <c r="W200" s="274"/>
      <c r="X200" s="29"/>
      <c r="Y200" s="72"/>
      <c r="Z200" s="58"/>
      <c r="AA200" s="138"/>
      <c r="AB200" s="54"/>
      <c r="AC200" s="54"/>
      <c r="AD200" s="75"/>
      <c r="AE200" s="142"/>
      <c r="AF200" s="138"/>
      <c r="AG200" s="54"/>
      <c r="AH200" s="54"/>
      <c r="AI200" s="75"/>
      <c r="AJ200" s="142"/>
      <c r="AK200" s="33"/>
    </row>
    <row r="201" spans="2:41" ht="270.75" customHeight="1" x14ac:dyDescent="0.25">
      <c r="B201" s="35" t="str">
        <f>'1 lentelė'!$B200</f>
        <v xml:space="preserve"> 3.2.5.1.6</v>
      </c>
      <c r="C201" s="35" t="str">
        <f>'1 lentelė'!$C200</f>
        <v>R099920-490000-3234</v>
      </c>
      <c r="D201" s="35" t="str">
        <f>'1 lentelė'!$D200</f>
        <v>Paslaugų ir asmenų aptarnavimo kokybės gerinimas Ignalinos rajono savivaldybėje</v>
      </c>
      <c r="E201" s="39" t="s">
        <v>66</v>
      </c>
      <c r="F201" s="39" t="s">
        <v>1028</v>
      </c>
      <c r="G201" s="347" t="str">
        <f>'2 lentelė'!E200</f>
        <v>P.S.415</v>
      </c>
      <c r="H201" s="32" t="str">
        <f>'2 lentelė'!F200</f>
        <v>Viešojo valdymo institucijos, pagal veiksmų programą ESF lėšomis įgyvendinusios paslaugų ir (ar) aptarnavimo kokybei gerinti skirtas priemones</v>
      </c>
      <c r="I201" s="176">
        <f>'2 lentelė'!G200</f>
        <v>2</v>
      </c>
      <c r="J201" s="32">
        <v>2</v>
      </c>
      <c r="K201" s="134">
        <v>0</v>
      </c>
      <c r="L201" s="347" t="str">
        <f>'2 lentelė'!H200</f>
        <v>P.S.416</v>
      </c>
      <c r="M201" s="32" t="str">
        <f>'2 lentelė'!I200</f>
        <v>Viešojo valdymo institucijų darbuotojai, kurie dalyvavo pagal veiksmų programą  ESF lėšomis vykdytose veiklose, skirtose stiprinti teikiamų paslaugų ir (ar) aptarnavimo kokybės gerinimui reikalingas kompetencijas</v>
      </c>
      <c r="N201" s="176">
        <f>'2 lentelė'!J200</f>
        <v>85</v>
      </c>
      <c r="O201" s="32">
        <v>85</v>
      </c>
      <c r="P201" s="134">
        <v>94</v>
      </c>
      <c r="Q201" s="135" t="str">
        <f>'2 lentelė'!K200</f>
        <v>P.N.910</v>
      </c>
      <c r="R201" s="135" t="str">
        <f>'2 lentelė'!L200</f>
        <v>Parengtos piliečių chartijos</v>
      </c>
      <c r="S201" s="135">
        <f>'2 lentelė'!M200</f>
        <v>1</v>
      </c>
      <c r="T201" s="32">
        <v>1</v>
      </c>
      <c r="U201" s="134">
        <v>0</v>
      </c>
      <c r="V201" s="135"/>
      <c r="W201" s="29"/>
      <c r="X201" s="29"/>
      <c r="Y201" s="72"/>
      <c r="Z201" s="58"/>
      <c r="AA201" s="138"/>
      <c r="AB201" s="54"/>
      <c r="AC201" s="54"/>
      <c r="AD201" s="32"/>
      <c r="AE201" s="134"/>
      <c r="AF201" s="138"/>
      <c r="AG201" s="54"/>
      <c r="AH201" s="54"/>
      <c r="AI201" s="75"/>
      <c r="AJ201" s="142"/>
      <c r="AK201" s="33"/>
    </row>
    <row r="202" spans="2:41" ht="273" customHeight="1" x14ac:dyDescent="0.25">
      <c r="B202" s="35" t="str">
        <f>'1 lentelė'!$B201</f>
        <v>3.2.5.1.8</v>
      </c>
      <c r="C202" s="35" t="str">
        <f>'1 lentelė'!$C201</f>
        <v>R099920-490000-3236</v>
      </c>
      <c r="D202" s="35" t="str">
        <f>'1 lentelė'!$D201</f>
        <v>Paslaugų ir asmenų aptarnavimo kokybės gerinimas Utenos rajono seniūnijose</v>
      </c>
      <c r="E202" s="39" t="s">
        <v>66</v>
      </c>
      <c r="F202" s="297" t="s">
        <v>66</v>
      </c>
      <c r="G202" s="347" t="str">
        <f>'2 lentelė'!E201</f>
        <v>P.S.415</v>
      </c>
      <c r="H202" s="32" t="str">
        <f>'2 lentelė'!F201</f>
        <v>Viešojo valdymo institucijos, pagal veiksmų programą ESF lėšomis įgyvendinusios paslaugų ir (ar) aptarnavimo kokybei gerinti skirtas priemones</v>
      </c>
      <c r="I202" s="176">
        <f>'2 lentelė'!G201</f>
        <v>10</v>
      </c>
      <c r="J202" s="32">
        <v>0</v>
      </c>
      <c r="K202" s="134">
        <v>0</v>
      </c>
      <c r="L202" s="347" t="str">
        <f>'2 lentelė'!H201</f>
        <v>P.S.416</v>
      </c>
      <c r="M202" s="32" t="str">
        <f>'2 lentelė'!I201</f>
        <v>Viešojo valdymo institucijų darbuotojai, kurie dalyvavo pagal veiksmų programą  ESF lėšomis vykdytose veiklose, skirtose stiprinti teikiamų paslaugų ir (ar) aptarnavimo kokybės gerinimui reikalingas kompetencijas</v>
      </c>
      <c r="N202" s="176">
        <f>'2 lentelė'!J201</f>
        <v>20</v>
      </c>
      <c r="O202" s="32">
        <v>0</v>
      </c>
      <c r="P202" s="134">
        <v>0</v>
      </c>
      <c r="Q202" s="135"/>
      <c r="R202" s="29"/>
      <c r="S202" s="29"/>
      <c r="T202" s="56"/>
      <c r="U202" s="160"/>
      <c r="V202" s="137"/>
      <c r="W202" s="37"/>
      <c r="X202" s="29"/>
      <c r="Y202" s="29"/>
      <c r="Z202" s="136"/>
      <c r="AA202" s="138"/>
      <c r="AB202" s="54"/>
      <c r="AC202" s="54"/>
      <c r="AD202" s="54"/>
      <c r="AE202" s="139"/>
      <c r="AF202" s="138"/>
      <c r="AG202" s="54"/>
      <c r="AH202" s="54"/>
      <c r="AI202" s="54"/>
      <c r="AJ202" s="139"/>
      <c r="AK202" s="6"/>
    </row>
    <row r="203" spans="2:41" x14ac:dyDescent="0.25">
      <c r="B203" s="93"/>
      <c r="C203" s="93"/>
      <c r="D203" s="93"/>
      <c r="E203" s="93"/>
      <c r="F203" s="93"/>
      <c r="I203" s="186"/>
      <c r="J203" s="186"/>
      <c r="K203" s="186"/>
      <c r="L203" s="84"/>
      <c r="M203" s="84"/>
      <c r="N203" s="187"/>
      <c r="O203" s="187"/>
      <c r="P203" s="187"/>
      <c r="Q203" s="84"/>
      <c r="R203" s="84"/>
      <c r="S203" s="186"/>
      <c r="T203" s="186"/>
      <c r="U203" s="186"/>
      <c r="V203" s="186"/>
      <c r="W203" s="186"/>
      <c r="X203" s="186"/>
      <c r="Y203" s="186"/>
      <c r="Z203" s="186"/>
      <c r="AA203" s="186"/>
      <c r="AB203" s="186"/>
      <c r="AC203" s="186"/>
      <c r="AD203" s="186"/>
      <c r="AE203" s="186"/>
      <c r="AF203" s="186"/>
      <c r="AG203" s="186"/>
      <c r="AH203" s="186"/>
      <c r="AI203" s="186"/>
      <c r="AJ203" s="186"/>
    </row>
    <row r="204" spans="2:41" ht="15" customHeight="1" x14ac:dyDescent="0.25">
      <c r="B204" s="384" t="s">
        <v>894</v>
      </c>
      <c r="C204" s="385"/>
      <c r="D204" s="385"/>
      <c r="E204" s="385"/>
      <c r="F204" s="385"/>
      <c r="G204" s="385"/>
      <c r="H204" s="385"/>
      <c r="I204" s="385"/>
      <c r="J204" s="385"/>
      <c r="K204" s="385"/>
      <c r="L204" s="385"/>
      <c r="M204" s="385"/>
      <c r="N204" s="385"/>
      <c r="O204" s="385"/>
      <c r="P204" s="385"/>
      <c r="Q204" s="385"/>
      <c r="R204" s="385"/>
      <c r="S204" s="385"/>
      <c r="T204" s="385"/>
      <c r="U204" s="385"/>
      <c r="V204" s="385"/>
      <c r="W204" s="385"/>
      <c r="X204" s="385"/>
      <c r="Y204" s="385"/>
      <c r="Z204" s="385"/>
      <c r="AA204" s="385"/>
      <c r="AB204" s="385"/>
      <c r="AC204" s="385"/>
      <c r="AD204" s="385"/>
      <c r="AE204" s="385"/>
      <c r="AF204" s="385"/>
      <c r="AG204" s="385"/>
      <c r="AH204" s="188"/>
      <c r="AI204" s="188"/>
    </row>
    <row r="208" spans="2:41" x14ac:dyDescent="0.25">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93"/>
      <c r="AN208" s="93"/>
      <c r="AO208" s="93"/>
    </row>
    <row r="209" spans="2:41" s="189" customFormat="1" x14ac:dyDescent="0.25">
      <c r="B209" s="276" t="s">
        <v>867</v>
      </c>
      <c r="C209" s="276"/>
      <c r="D209" s="276"/>
      <c r="E209" s="276"/>
      <c r="F209" s="276"/>
      <c r="G209" s="276"/>
      <c r="H209" s="276"/>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290"/>
      <c r="AL209" s="290"/>
      <c r="AM209" s="290"/>
      <c r="AN209" s="290"/>
      <c r="AO209" s="290"/>
    </row>
    <row r="219" spans="2:41" x14ac:dyDescent="0.25">
      <c r="K219" s="1" t="s">
        <v>220</v>
      </c>
    </row>
  </sheetData>
  <mergeCells count="7">
    <mergeCell ref="B204:AG204"/>
    <mergeCell ref="B7:B8"/>
    <mergeCell ref="C7:C8"/>
    <mergeCell ref="D7:D8"/>
    <mergeCell ref="E7:E8"/>
    <mergeCell ref="F7:F8"/>
    <mergeCell ref="G7:AJ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23" t="s">
        <v>1029</v>
      </c>
      <c r="N1" s="2"/>
      <c r="U1" s="2"/>
    </row>
    <row r="2" spans="2:21" ht="15.75" x14ac:dyDescent="0.25">
      <c r="C2" s="331" t="s">
        <v>1356</v>
      </c>
      <c r="N2" s="3"/>
      <c r="U2" s="3"/>
    </row>
    <row r="3" spans="2:21" ht="15.75" x14ac:dyDescent="0.25">
      <c r="C3" s="331" t="s">
        <v>1357</v>
      </c>
      <c r="N3" s="3"/>
      <c r="U3" s="3"/>
    </row>
    <row r="4" spans="2:21" ht="15.75" x14ac:dyDescent="0.25">
      <c r="C4" s="96"/>
      <c r="N4" s="3"/>
      <c r="U4" s="3"/>
    </row>
    <row r="5" spans="2:21" ht="15.75" x14ac:dyDescent="0.25">
      <c r="B5" s="393" t="s">
        <v>1030</v>
      </c>
      <c r="C5" s="393"/>
      <c r="D5" s="96"/>
      <c r="N5" s="3"/>
      <c r="U5" s="3"/>
    </row>
    <row r="6" spans="2:21" ht="15.75" x14ac:dyDescent="0.25">
      <c r="B6" s="394" t="s">
        <v>1031</v>
      </c>
      <c r="C6" s="394"/>
      <c r="E6" s="4"/>
      <c r="F6" s="4"/>
      <c r="G6" s="4"/>
      <c r="H6" s="4"/>
    </row>
    <row r="7" spans="2:21" ht="15.75" x14ac:dyDescent="0.25">
      <c r="B7" s="324" t="s">
        <v>1032</v>
      </c>
      <c r="C7" s="325" t="s">
        <v>1033</v>
      </c>
      <c r="D7" s="190"/>
    </row>
    <row r="8" spans="2:21" ht="15.75" x14ac:dyDescent="0.25">
      <c r="B8" s="395" t="s">
        <v>1034</v>
      </c>
      <c r="C8" s="396"/>
      <c r="D8" s="191"/>
    </row>
    <row r="9" spans="2:21" ht="36.75" customHeight="1" x14ac:dyDescent="0.25">
      <c r="B9" s="330" t="s">
        <v>1336</v>
      </c>
      <c r="C9" s="328" t="s">
        <v>1358</v>
      </c>
      <c r="D9" s="93"/>
    </row>
    <row r="10" spans="2:21" ht="31.5" x14ac:dyDescent="0.25">
      <c r="B10" s="328" t="s">
        <v>1314</v>
      </c>
      <c r="C10" s="327" t="s">
        <v>1361</v>
      </c>
      <c r="D10" s="93"/>
    </row>
    <row r="11" spans="2:21" ht="79.5" hidden="1" customHeight="1" x14ac:dyDescent="0.25">
      <c r="B11" s="327" t="s">
        <v>1302</v>
      </c>
      <c r="C11" s="327" t="s">
        <v>1313</v>
      </c>
      <c r="D11" s="93"/>
    </row>
    <row r="12" spans="2:21" ht="31.5" x14ac:dyDescent="0.25">
      <c r="B12" s="327" t="s">
        <v>1315</v>
      </c>
      <c r="C12" s="327" t="s">
        <v>1362</v>
      </c>
      <c r="D12" s="93"/>
      <c r="E12" s="44">
        <f>18+21+24+17+23</f>
        <v>103</v>
      </c>
    </row>
    <row r="13" spans="2:21" ht="31.5" x14ac:dyDescent="0.25">
      <c r="B13" s="327" t="s">
        <v>1316</v>
      </c>
      <c r="C13" s="327" t="s">
        <v>1312</v>
      </c>
      <c r="D13" s="93"/>
    </row>
    <row r="14" spans="2:21" ht="82.5" customHeight="1" x14ac:dyDescent="0.25">
      <c r="B14" s="327" t="s">
        <v>1335</v>
      </c>
      <c r="C14" s="327" t="s">
        <v>1363</v>
      </c>
      <c r="D14" s="93"/>
    </row>
    <row r="15" spans="2:21" ht="15.75" x14ac:dyDescent="0.25">
      <c r="B15" s="389" t="s">
        <v>1035</v>
      </c>
      <c r="C15" s="390"/>
      <c r="D15" s="191"/>
    </row>
    <row r="16" spans="2:21" ht="50.25" customHeight="1" x14ac:dyDescent="0.25">
      <c r="B16" s="327" t="s">
        <v>1317</v>
      </c>
      <c r="C16" s="327" t="s">
        <v>1364</v>
      </c>
      <c r="D16" s="307">
        <f>901.5/688.5</f>
        <v>1.3093681917211328</v>
      </c>
      <c r="E16" s="44" t="s">
        <v>1294</v>
      </c>
      <c r="F16" s="44" t="s">
        <v>1288</v>
      </c>
      <c r="G16" s="44" t="s">
        <v>1289</v>
      </c>
      <c r="H16" s="44" t="s">
        <v>1290</v>
      </c>
      <c r="I16" s="319" t="s">
        <v>1291</v>
      </c>
      <c r="J16" s="319" t="s">
        <v>1292</v>
      </c>
      <c r="K16" s="319" t="s">
        <v>1293</v>
      </c>
      <c r="L16" s="44"/>
    </row>
    <row r="17" spans="2:12" ht="82.5" customHeight="1" x14ac:dyDescent="0.25">
      <c r="B17" s="327" t="s">
        <v>1318</v>
      </c>
      <c r="C17" s="327" t="s">
        <v>1365</v>
      </c>
      <c r="D17" s="93"/>
      <c r="E17" s="313">
        <f>11.7/8.4*100</f>
        <v>139.28571428571428</v>
      </c>
    </row>
    <row r="18" spans="2:12" ht="63" x14ac:dyDescent="0.25">
      <c r="B18" s="327" t="s">
        <v>1337</v>
      </c>
      <c r="C18" s="327" t="s">
        <v>1366</v>
      </c>
      <c r="D18" s="307">
        <f>E18/6</f>
        <v>4.5316666666666672</v>
      </c>
      <c r="E18" s="44">
        <f>5.13+6.9+3.19+1.71+6.55+3.71</f>
        <v>27.19</v>
      </c>
      <c r="F18" s="45">
        <f>G18/6</f>
        <v>7.333333333333333</v>
      </c>
      <c r="G18" s="44">
        <f>9+10.2+5.3+3.6+9.2+6.7</f>
        <v>44</v>
      </c>
      <c r="H18" s="44">
        <f>1211+1026+556+638+1001+682</f>
        <v>5114</v>
      </c>
      <c r="I18" s="44">
        <f>H18/6</f>
        <v>852.33333333333337</v>
      </c>
      <c r="J18" s="44">
        <f>K18/6</f>
        <v>1612</v>
      </c>
      <c r="K18" s="44">
        <f>2429+1745+1037+1494+1585+1382</f>
        <v>9672</v>
      </c>
      <c r="L18" s="6"/>
    </row>
    <row r="19" spans="2:12" ht="31.5" customHeight="1" x14ac:dyDescent="0.25">
      <c r="B19" s="327" t="s">
        <v>1334</v>
      </c>
      <c r="C19" s="327" t="s">
        <v>1297</v>
      </c>
      <c r="D19" s="307">
        <f>E19/124965*100</f>
        <v>0</v>
      </c>
      <c r="E19" s="44"/>
    </row>
    <row r="20" spans="2:12" ht="34.5" customHeight="1" x14ac:dyDescent="0.25">
      <c r="B20" s="327" t="s">
        <v>1319</v>
      </c>
      <c r="C20" s="327" t="s">
        <v>1367</v>
      </c>
      <c r="D20" s="93"/>
    </row>
    <row r="21" spans="2:12" ht="48.75" customHeight="1" x14ac:dyDescent="0.25">
      <c r="B21" s="327" t="s">
        <v>1338</v>
      </c>
      <c r="C21" s="327" t="s">
        <v>1368</v>
      </c>
      <c r="D21" s="93"/>
    </row>
    <row r="22" spans="2:12" ht="31.5" x14ac:dyDescent="0.25">
      <c r="B22" s="327" t="s">
        <v>1339</v>
      </c>
      <c r="C22" s="327" t="s">
        <v>1304</v>
      </c>
      <c r="D22" s="93"/>
    </row>
    <row r="23" spans="2:12" ht="33.75" customHeight="1" x14ac:dyDescent="0.25">
      <c r="B23" s="327" t="s">
        <v>1340</v>
      </c>
      <c r="C23" s="327" t="s">
        <v>1369</v>
      </c>
      <c r="D23" s="93"/>
    </row>
    <row r="24" spans="2:12" ht="31.5" x14ac:dyDescent="0.25">
      <c r="B24" s="328" t="s">
        <v>1341</v>
      </c>
      <c r="C24" s="327" t="s">
        <v>1370</v>
      </c>
      <c r="D24" s="93"/>
    </row>
    <row r="25" spans="2:12" ht="31.5" x14ac:dyDescent="0.25">
      <c r="B25" s="327" t="s">
        <v>1295</v>
      </c>
      <c r="C25" s="327" t="s">
        <v>1371</v>
      </c>
      <c r="D25" s="93"/>
    </row>
    <row r="26" spans="2:12" ht="47.25" customHeight="1" x14ac:dyDescent="0.25">
      <c r="B26" s="327" t="s">
        <v>1342</v>
      </c>
      <c r="C26" s="327" t="s">
        <v>1372</v>
      </c>
      <c r="D26" s="93"/>
    </row>
    <row r="27" spans="2:12" ht="63" x14ac:dyDescent="0.25">
      <c r="B27" s="327" t="s">
        <v>1343</v>
      </c>
      <c r="C27" s="327" t="s">
        <v>1306</v>
      </c>
      <c r="D27" s="93"/>
    </row>
    <row r="28" spans="2:12" ht="31.5" x14ac:dyDescent="0.25">
      <c r="B28" s="328" t="s">
        <v>1344</v>
      </c>
      <c r="C28" s="327" t="s">
        <v>1305</v>
      </c>
      <c r="D28" s="93"/>
      <c r="E28" s="45">
        <f>616/6206*100</f>
        <v>9.9258781824041264</v>
      </c>
      <c r="F28" s="45">
        <f>3512/6206*100</f>
        <v>56.590396390589746</v>
      </c>
      <c r="G28" s="45">
        <f>2078/6206*100</f>
        <v>33.483725427006121</v>
      </c>
      <c r="H28" s="44"/>
      <c r="I28" s="44"/>
      <c r="J28" s="44"/>
      <c r="K28" s="45">
        <f>E28+F28+G28</f>
        <v>99.999999999999986</v>
      </c>
    </row>
    <row r="29" spans="2:12" ht="47.25" x14ac:dyDescent="0.25">
      <c r="B29" s="328" t="s">
        <v>1345</v>
      </c>
      <c r="C29" s="327" t="s">
        <v>1373</v>
      </c>
      <c r="D29" s="93"/>
    </row>
    <row r="30" spans="2:12" ht="83.25" customHeight="1" x14ac:dyDescent="0.25">
      <c r="B30" s="327" t="s">
        <v>1346</v>
      </c>
      <c r="C30" s="327" t="s">
        <v>1308</v>
      </c>
      <c r="D30" s="93"/>
    </row>
    <row r="31" spans="2:12" ht="273.75" customHeight="1" x14ac:dyDescent="0.25">
      <c r="B31" s="327" t="s">
        <v>1320</v>
      </c>
      <c r="C31" s="250" t="s">
        <v>1374</v>
      </c>
      <c r="D31" s="93"/>
    </row>
    <row r="32" spans="2:12" ht="238.5" customHeight="1" x14ac:dyDescent="0.25">
      <c r="B32" s="327" t="s">
        <v>1347</v>
      </c>
      <c r="C32" s="250" t="s">
        <v>1375</v>
      </c>
      <c r="D32" s="93"/>
    </row>
    <row r="33" spans="2:5" ht="83.25" customHeight="1" x14ac:dyDescent="0.25">
      <c r="B33" s="327" t="s">
        <v>1348</v>
      </c>
      <c r="C33" s="250" t="s">
        <v>1376</v>
      </c>
      <c r="D33" s="93"/>
    </row>
    <row r="34" spans="2:5" ht="21" customHeight="1" x14ac:dyDescent="0.25">
      <c r="B34" s="327" t="s">
        <v>1321</v>
      </c>
      <c r="C34" s="250" t="s">
        <v>1377</v>
      </c>
      <c r="D34" s="93"/>
    </row>
    <row r="35" spans="2:5" ht="31.5" x14ac:dyDescent="0.25">
      <c r="B35" s="327" t="s">
        <v>1349</v>
      </c>
      <c r="C35" s="250" t="s">
        <v>1309</v>
      </c>
      <c r="D35" s="93"/>
    </row>
    <row r="36" spans="2:5" ht="15.75" hidden="1" x14ac:dyDescent="0.25">
      <c r="B36" s="328" t="s">
        <v>1296</v>
      </c>
      <c r="C36" s="329"/>
      <c r="D36" s="93"/>
    </row>
    <row r="37" spans="2:5" ht="31.5" x14ac:dyDescent="0.25">
      <c r="B37" s="327" t="s">
        <v>1350</v>
      </c>
      <c r="C37" s="327" t="s">
        <v>1307</v>
      </c>
      <c r="D37" s="93"/>
    </row>
    <row r="38" spans="2:5" ht="15.75" x14ac:dyDescent="0.25">
      <c r="B38" s="328" t="s">
        <v>1351</v>
      </c>
      <c r="C38" s="327" t="s">
        <v>1310</v>
      </c>
      <c r="D38" s="93"/>
    </row>
    <row r="39" spans="2:5" ht="96" customHeight="1" x14ac:dyDescent="0.25">
      <c r="B39" s="327" t="s">
        <v>1352</v>
      </c>
      <c r="C39" s="327" t="s">
        <v>1311</v>
      </c>
      <c r="D39" s="93"/>
    </row>
    <row r="40" spans="2:5" ht="31.5" x14ac:dyDescent="0.25">
      <c r="B40" s="328" t="s">
        <v>1322</v>
      </c>
      <c r="C40" s="327" t="s">
        <v>1378</v>
      </c>
      <c r="D40" s="93"/>
    </row>
    <row r="41" spans="2:5" ht="31.5" x14ac:dyDescent="0.25">
      <c r="B41" s="327" t="s">
        <v>1323</v>
      </c>
      <c r="C41" s="327" t="s">
        <v>1299</v>
      </c>
      <c r="D41" s="93"/>
    </row>
    <row r="42" spans="2:5" ht="15.75" x14ac:dyDescent="0.25">
      <c r="B42" s="327" t="s">
        <v>1353</v>
      </c>
      <c r="C42" s="327" t="s">
        <v>1360</v>
      </c>
      <c r="D42" s="93"/>
    </row>
    <row r="43" spans="2:5" ht="49.5" customHeight="1" x14ac:dyDescent="0.25">
      <c r="B43" s="327" t="s">
        <v>1324</v>
      </c>
      <c r="C43" s="327" t="s">
        <v>1298</v>
      </c>
      <c r="D43" s="93"/>
    </row>
    <row r="44" spans="2:5" ht="21" customHeight="1" x14ac:dyDescent="0.25">
      <c r="B44" s="327" t="s">
        <v>1325</v>
      </c>
      <c r="C44" s="327" t="s">
        <v>1326</v>
      </c>
      <c r="D44" s="93"/>
    </row>
    <row r="45" spans="2:5" ht="31.5" x14ac:dyDescent="0.25">
      <c r="B45" s="328" t="s">
        <v>1354</v>
      </c>
      <c r="C45" s="328" t="s">
        <v>1379</v>
      </c>
      <c r="D45" s="93"/>
      <c r="E45" s="38"/>
    </row>
    <row r="46" spans="2:5" ht="15.75" x14ac:dyDescent="0.25">
      <c r="B46" s="389" t="s">
        <v>1036</v>
      </c>
      <c r="C46" s="390"/>
      <c r="D46" s="191"/>
    </row>
    <row r="47" spans="2:5" ht="15.75" x14ac:dyDescent="0.25">
      <c r="B47" s="328"/>
      <c r="C47" s="328" t="s">
        <v>1331</v>
      </c>
      <c r="D47" s="93"/>
    </row>
    <row r="48" spans="2:5" ht="15.75" x14ac:dyDescent="0.25">
      <c r="B48" s="389" t="s">
        <v>1037</v>
      </c>
      <c r="C48" s="390"/>
      <c r="D48" s="191"/>
    </row>
    <row r="49" spans="2:4" s="322" customFormat="1" ht="96.75" customHeight="1" x14ac:dyDescent="0.25">
      <c r="B49" s="327" t="s">
        <v>1355</v>
      </c>
      <c r="C49" s="327" t="s">
        <v>1332</v>
      </c>
      <c r="D49" s="321"/>
    </row>
    <row r="50" spans="2:4" ht="31.5" x14ac:dyDescent="0.25">
      <c r="B50" s="327" t="s">
        <v>1327</v>
      </c>
      <c r="C50" s="328" t="s">
        <v>1330</v>
      </c>
      <c r="D50" s="93"/>
    </row>
    <row r="51" spans="2:4" ht="57" customHeight="1" x14ac:dyDescent="0.25">
      <c r="B51" s="327" t="s">
        <v>1328</v>
      </c>
      <c r="C51" s="327" t="s">
        <v>1359</v>
      </c>
      <c r="D51" s="93"/>
    </row>
    <row r="52" spans="2:4" ht="31.5" x14ac:dyDescent="0.25">
      <c r="B52" s="328" t="s">
        <v>1329</v>
      </c>
      <c r="C52" s="327" t="s">
        <v>1333</v>
      </c>
      <c r="D52" s="93"/>
    </row>
    <row r="53" spans="2:4" ht="15.75" hidden="1" x14ac:dyDescent="0.25">
      <c r="B53" s="328" t="s">
        <v>1300</v>
      </c>
      <c r="C53" s="329"/>
      <c r="D53" s="93"/>
    </row>
    <row r="54" spans="2:4" ht="31.5" hidden="1" x14ac:dyDescent="0.25">
      <c r="B54" s="328" t="s">
        <v>1301</v>
      </c>
      <c r="C54" s="329"/>
      <c r="D54" s="93"/>
    </row>
    <row r="55" spans="2:4" ht="15.75" x14ac:dyDescent="0.25">
      <c r="B55" s="391" t="s">
        <v>1038</v>
      </c>
      <c r="C55" s="392"/>
      <c r="D55" s="188"/>
    </row>
    <row r="56" spans="2:4" ht="15.75" x14ac:dyDescent="0.25">
      <c r="B56" s="326"/>
      <c r="C56" s="326"/>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96" t="s">
        <v>868</v>
      </c>
    </row>
    <row r="2" spans="2:22" ht="15.75" x14ac:dyDescent="0.25">
      <c r="B2" s="6"/>
      <c r="C2" s="6"/>
      <c r="D2" s="6"/>
      <c r="E2" s="8"/>
      <c r="F2" s="8"/>
      <c r="G2" s="8"/>
      <c r="H2" s="8"/>
      <c r="I2" s="8"/>
      <c r="J2" s="8"/>
      <c r="L2" s="96" t="s">
        <v>1</v>
      </c>
    </row>
    <row r="3" spans="2:22" ht="15.75" x14ac:dyDescent="0.25">
      <c r="B3" s="6"/>
      <c r="C3" s="6"/>
      <c r="D3" s="6"/>
      <c r="E3" s="8"/>
      <c r="F3" s="8"/>
      <c r="G3" s="8"/>
      <c r="H3" s="8"/>
      <c r="I3" s="8"/>
      <c r="J3" s="8"/>
      <c r="L3" s="96" t="s">
        <v>1039</v>
      </c>
    </row>
    <row r="4" spans="2:22" ht="15.75" x14ac:dyDescent="0.25">
      <c r="B4" s="6"/>
      <c r="C4" s="6"/>
      <c r="D4" s="6"/>
      <c r="E4" s="8"/>
      <c r="F4" s="8"/>
      <c r="G4" s="8"/>
      <c r="H4" s="8"/>
      <c r="I4" s="8"/>
      <c r="J4" s="8"/>
      <c r="L4" s="96"/>
    </row>
    <row r="5" spans="2:22" ht="15.75" x14ac:dyDescent="0.25">
      <c r="B5" s="110" t="s">
        <v>1030</v>
      </c>
      <c r="C5" s="110"/>
      <c r="D5" s="6"/>
      <c r="E5" s="8"/>
      <c r="F5" s="8"/>
      <c r="G5" s="8"/>
      <c r="H5" s="8"/>
      <c r="I5" s="8"/>
      <c r="J5" s="8"/>
    </row>
    <row r="6" spans="2:22" ht="15.75" customHeight="1" x14ac:dyDescent="0.25">
      <c r="B6" s="9" t="s">
        <v>1040</v>
      </c>
      <c r="C6" s="9"/>
      <c r="D6" s="6"/>
      <c r="E6" s="6"/>
      <c r="F6" s="6"/>
      <c r="G6" s="6"/>
      <c r="H6" s="6"/>
      <c r="I6" s="6"/>
      <c r="J6" s="6"/>
    </row>
    <row r="7" spans="2:22" ht="25.5" customHeight="1" x14ac:dyDescent="0.25">
      <c r="B7" s="388" t="s">
        <v>1041</v>
      </c>
      <c r="C7" s="388" t="s">
        <v>1042</v>
      </c>
      <c r="D7" s="368" t="s">
        <v>1043</v>
      </c>
      <c r="E7" s="399"/>
      <c r="F7" s="399"/>
      <c r="G7" s="400"/>
      <c r="H7" s="368" t="s">
        <v>1044</v>
      </c>
      <c r="I7" s="399"/>
      <c r="J7" s="399"/>
      <c r="K7" s="368" t="s">
        <v>1045</v>
      </c>
      <c r="L7" s="399"/>
      <c r="M7" s="400"/>
      <c r="N7" s="374" t="s">
        <v>874</v>
      </c>
      <c r="O7" s="192"/>
      <c r="P7" s="192"/>
      <c r="Q7" s="192"/>
      <c r="R7" s="397"/>
      <c r="S7" s="397"/>
      <c r="T7" s="192"/>
      <c r="U7" s="192"/>
      <c r="V7" s="192"/>
    </row>
    <row r="8" spans="2:22" ht="111.75" customHeight="1" x14ac:dyDescent="0.25">
      <c r="B8" s="398"/>
      <c r="C8" s="398"/>
      <c r="D8" s="193" t="s">
        <v>1046</v>
      </c>
      <c r="E8" s="193" t="s">
        <v>1047</v>
      </c>
      <c r="F8" s="193" t="s">
        <v>1048</v>
      </c>
      <c r="G8" s="193" t="s">
        <v>1049</v>
      </c>
      <c r="H8" s="193" t="s">
        <v>42</v>
      </c>
      <c r="I8" s="193" t="s">
        <v>1050</v>
      </c>
      <c r="J8" s="193" t="s">
        <v>1051</v>
      </c>
      <c r="K8" s="193" t="s">
        <v>42</v>
      </c>
      <c r="L8" s="193" t="s">
        <v>1052</v>
      </c>
      <c r="M8" s="193" t="s">
        <v>879</v>
      </c>
      <c r="N8" s="375"/>
      <c r="O8" s="192"/>
      <c r="P8" s="192"/>
      <c r="Q8" s="314">
        <f>56/3*2</f>
        <v>37.333333333333336</v>
      </c>
      <c r="R8" s="192"/>
      <c r="S8" s="192"/>
      <c r="T8" s="192"/>
      <c r="U8" s="192"/>
      <c r="V8" s="192"/>
    </row>
    <row r="9" spans="2:22" ht="63.75" customHeight="1" x14ac:dyDescent="0.25">
      <c r="B9" s="194" t="s">
        <v>0</v>
      </c>
      <c r="C9" s="194" t="s">
        <v>1053</v>
      </c>
      <c r="D9" s="195"/>
      <c r="E9" s="195"/>
      <c r="F9" s="195"/>
      <c r="G9" s="195"/>
      <c r="H9" s="195"/>
      <c r="I9" s="195"/>
      <c r="J9" s="195"/>
      <c r="K9" s="195"/>
      <c r="L9" s="195"/>
      <c r="M9" s="195"/>
      <c r="N9" s="99"/>
      <c r="O9" s="93"/>
      <c r="P9" s="93"/>
      <c r="Q9" s="93"/>
      <c r="R9" s="93"/>
      <c r="S9" s="93"/>
      <c r="T9" s="93"/>
      <c r="U9" s="93"/>
      <c r="V9" s="93"/>
    </row>
    <row r="10" spans="2:22" ht="207.75" customHeight="1" x14ac:dyDescent="0.25">
      <c r="B10" s="196" t="s">
        <v>1054</v>
      </c>
      <c r="C10" s="196" t="s">
        <v>52</v>
      </c>
      <c r="D10" s="197"/>
      <c r="E10" s="197"/>
      <c r="F10" s="197"/>
      <c r="G10" s="197"/>
      <c r="H10" s="197"/>
      <c r="I10" s="197"/>
      <c r="J10" s="197"/>
      <c r="K10" s="197"/>
      <c r="L10" s="197"/>
      <c r="M10" s="197"/>
      <c r="N10" s="99"/>
      <c r="O10" s="93"/>
      <c r="P10" s="93"/>
      <c r="Q10" s="93"/>
      <c r="R10" s="93"/>
      <c r="S10" s="93"/>
      <c r="T10" s="93"/>
      <c r="U10" s="93"/>
      <c r="V10" s="93"/>
    </row>
    <row r="11" spans="2:22" ht="75.75" customHeight="1" x14ac:dyDescent="0.25">
      <c r="B11" s="197"/>
      <c r="C11" s="197"/>
      <c r="D11" s="198"/>
      <c r="E11" s="198" t="s">
        <v>1055</v>
      </c>
      <c r="F11" s="39">
        <v>76</v>
      </c>
      <c r="G11" s="215">
        <v>57.3</v>
      </c>
      <c r="H11" s="197"/>
      <c r="I11" s="197"/>
      <c r="J11" s="197"/>
      <c r="K11" s="197"/>
      <c r="L11" s="197"/>
      <c r="M11" s="197"/>
      <c r="N11" s="99"/>
      <c r="O11" s="93"/>
      <c r="P11" s="93"/>
      <c r="Q11" s="101" t="s">
        <v>1240</v>
      </c>
      <c r="R11" s="93"/>
      <c r="S11" s="93"/>
      <c r="T11" s="93"/>
      <c r="U11" s="93"/>
      <c r="V11" s="93"/>
    </row>
    <row r="12" spans="2:22" ht="120.75" customHeight="1" x14ac:dyDescent="0.25">
      <c r="B12" s="196" t="s">
        <v>1056</v>
      </c>
      <c r="C12" s="199" t="s">
        <v>1057</v>
      </c>
      <c r="D12" s="200"/>
      <c r="E12" s="200"/>
      <c r="F12" s="201"/>
      <c r="G12" s="201"/>
      <c r="H12" s="201"/>
      <c r="I12" s="202"/>
      <c r="J12" s="203"/>
      <c r="K12" s="203"/>
      <c r="L12" s="203"/>
      <c r="M12" s="203"/>
      <c r="N12" s="99"/>
      <c r="O12" s="93"/>
      <c r="P12" s="93"/>
      <c r="Q12" s="93"/>
      <c r="R12" s="93"/>
      <c r="S12" s="93"/>
      <c r="T12" s="93"/>
      <c r="U12" s="93"/>
      <c r="V12" s="93"/>
    </row>
    <row r="13" spans="2:22" ht="105" customHeight="1" x14ac:dyDescent="0.25">
      <c r="B13" s="197"/>
      <c r="C13" s="202"/>
      <c r="D13" s="204"/>
      <c r="E13" s="204" t="s">
        <v>1235</v>
      </c>
      <c r="F13" s="205">
        <v>105</v>
      </c>
      <c r="G13" s="206">
        <v>93.65</v>
      </c>
      <c r="H13" s="201"/>
      <c r="I13" s="202"/>
      <c r="J13" s="203"/>
      <c r="K13" s="203"/>
      <c r="L13" s="203"/>
      <c r="M13" s="203"/>
      <c r="N13" s="99"/>
      <c r="O13" s="93"/>
      <c r="P13" s="93"/>
      <c r="Q13" s="306" t="s">
        <v>1236</v>
      </c>
      <c r="R13" s="306" t="s">
        <v>1237</v>
      </c>
      <c r="S13" s="307">
        <f>54.6/58.3*100</f>
        <v>93.653516295025739</v>
      </c>
      <c r="T13" s="308"/>
      <c r="U13" s="93"/>
      <c r="V13" s="93"/>
    </row>
    <row r="14" spans="2:22" ht="58.5" customHeight="1" x14ac:dyDescent="0.25">
      <c r="B14" s="207" t="s">
        <v>55</v>
      </c>
      <c r="C14" s="207" t="s">
        <v>56</v>
      </c>
      <c r="D14" s="200"/>
      <c r="E14" s="200"/>
      <c r="F14" s="201"/>
      <c r="G14" s="201"/>
      <c r="H14" s="208">
        <f>'4_priedo_1'!H12</f>
        <v>12661458.240000002</v>
      </c>
      <c r="I14" s="209">
        <f>'4_priedo_1'!I12+'4_priedo_1'!J12</f>
        <v>10257443.780000001</v>
      </c>
      <c r="J14" s="210">
        <f>'4_priedo_1'!K12</f>
        <v>2404014.46</v>
      </c>
      <c r="K14" s="210">
        <f>'4_priedo_1'!P12</f>
        <v>6148188.330000001</v>
      </c>
      <c r="L14" s="210">
        <f>'4_priedo_1'!Q12+'4_priedo_1'!R12</f>
        <v>5076662.96</v>
      </c>
      <c r="M14" s="210">
        <f>'4_priedo_1'!S12</f>
        <v>1071525.3700000001</v>
      </c>
      <c r="N14" s="99"/>
      <c r="O14" s="93"/>
      <c r="P14" s="93" t="s">
        <v>1058</v>
      </c>
      <c r="Q14" s="93"/>
      <c r="R14" s="93"/>
      <c r="S14" s="93"/>
      <c r="T14" s="93"/>
      <c r="U14" s="93"/>
      <c r="V14" s="93"/>
    </row>
    <row r="15" spans="2:22" ht="66" customHeight="1" x14ac:dyDescent="0.25">
      <c r="B15" s="11"/>
      <c r="C15" s="211"/>
      <c r="D15" s="32" t="s">
        <v>688</v>
      </c>
      <c r="E15" s="32" t="s">
        <v>689</v>
      </c>
      <c r="F15" s="208">
        <f>SUM('4_priedo_2'!I13:I26)</f>
        <v>717206.89999999991</v>
      </c>
      <c r="G15" s="208">
        <f>SUM('4_priedo_2'!K13:'4_priedo_2'!K26)</f>
        <v>266477</v>
      </c>
      <c r="H15" s="201"/>
      <c r="I15" s="202"/>
      <c r="J15" s="203"/>
      <c r="K15" s="203"/>
      <c r="L15" s="203"/>
      <c r="M15" s="203"/>
      <c r="N15" s="99"/>
      <c r="O15" s="93"/>
      <c r="P15" s="93"/>
      <c r="Q15" s="93"/>
      <c r="R15" s="93"/>
      <c r="S15" s="93"/>
      <c r="T15" s="93"/>
      <c r="U15" s="93"/>
      <c r="V15" s="93"/>
    </row>
    <row r="16" spans="2:22" ht="77.25" customHeight="1" x14ac:dyDescent="0.25">
      <c r="B16" s="11"/>
      <c r="C16" s="211"/>
      <c r="D16" s="32" t="s">
        <v>690</v>
      </c>
      <c r="E16" s="32" t="s">
        <v>691</v>
      </c>
      <c r="F16" s="208">
        <f>'4_priedo_2'!N13+'4_priedo_2'!N19</f>
        <v>1169.6500000000001</v>
      </c>
      <c r="G16" s="208">
        <f>'4_priedo_2'!P13+'4_priedo_2'!P19</f>
        <v>0</v>
      </c>
      <c r="H16" s="201"/>
      <c r="I16" s="202"/>
      <c r="J16" s="203"/>
      <c r="K16" s="203"/>
      <c r="L16" s="203"/>
      <c r="M16" s="203"/>
      <c r="N16" s="99"/>
      <c r="O16" s="93"/>
      <c r="P16" s="93"/>
      <c r="Q16" s="93"/>
      <c r="R16" s="93"/>
      <c r="S16" s="93"/>
      <c r="T16" s="93"/>
      <c r="U16" s="93"/>
      <c r="V16" s="93"/>
    </row>
    <row r="17" spans="2:22" ht="89.25" customHeight="1" x14ac:dyDescent="0.25">
      <c r="B17" s="207" t="s">
        <v>133</v>
      </c>
      <c r="C17" s="207" t="s">
        <v>134</v>
      </c>
      <c r="D17" s="200"/>
      <c r="E17" s="200"/>
      <c r="F17" s="201"/>
      <c r="G17" s="201"/>
      <c r="H17" s="208">
        <f>'4_priedo_1'!H27</f>
        <v>4344260.17</v>
      </c>
      <c r="I17" s="209">
        <f>'4_priedo_1'!I27+'4_priedo_1'!J27</f>
        <v>3744904.55</v>
      </c>
      <c r="J17" s="210">
        <f>'4_priedo_1'!K27</f>
        <v>599355.61999999988</v>
      </c>
      <c r="K17" s="210">
        <f>'4_priedo_1'!P27</f>
        <v>3878897.9699999997</v>
      </c>
      <c r="L17" s="210">
        <f>'4_priedo_1'!Q27+'4_priedo_1'!R27</f>
        <v>3403749.53</v>
      </c>
      <c r="M17" s="210">
        <f>'4_priedo_1'!S27</f>
        <v>475148.44000000006</v>
      </c>
      <c r="N17" s="99"/>
      <c r="O17" s="93"/>
      <c r="P17" s="93"/>
      <c r="Q17" s="93"/>
      <c r="R17" s="93"/>
      <c r="S17" s="93"/>
      <c r="T17" s="93"/>
      <c r="U17" s="93"/>
      <c r="V17" s="93"/>
    </row>
    <row r="18" spans="2:22" ht="74.25" customHeight="1" x14ac:dyDescent="0.25">
      <c r="B18" s="11"/>
      <c r="C18" s="211"/>
      <c r="D18" s="32" t="s">
        <v>688</v>
      </c>
      <c r="E18" s="32" t="s">
        <v>694</v>
      </c>
      <c r="F18" s="208">
        <f>'4_priedo_2'!I28+'4_priedo_2'!I29+'4_priedo_2'!I30</f>
        <v>152251.93</v>
      </c>
      <c r="G18" s="208">
        <f>'4_priedo_2'!K28+'4_priedo_2'!K29+'4_priedo_2'!K30</f>
        <v>63806.929999999993</v>
      </c>
      <c r="H18" s="201"/>
      <c r="I18" s="202"/>
      <c r="J18" s="203"/>
      <c r="K18" s="203"/>
      <c r="L18" s="203"/>
      <c r="M18" s="203"/>
      <c r="N18" s="99"/>
      <c r="O18" s="93"/>
      <c r="P18" s="93"/>
      <c r="Q18" s="93"/>
      <c r="R18" s="93"/>
      <c r="S18" s="93"/>
      <c r="T18" s="93"/>
      <c r="U18" s="93"/>
      <c r="V18" s="93"/>
    </row>
    <row r="19" spans="2:22" ht="105" customHeight="1" x14ac:dyDescent="0.25">
      <c r="B19" s="11"/>
      <c r="C19" s="211"/>
      <c r="D19" s="32" t="s">
        <v>690</v>
      </c>
      <c r="E19" s="32" t="s">
        <v>703</v>
      </c>
      <c r="F19" s="208">
        <f>'4_priedo_2'!N29</f>
        <v>800</v>
      </c>
      <c r="G19" s="208">
        <f>'4_priedo_2'!P29</f>
        <v>0</v>
      </c>
      <c r="H19" s="201"/>
      <c r="I19" s="202"/>
      <c r="J19" s="203"/>
      <c r="K19" s="203"/>
      <c r="L19" s="203"/>
      <c r="M19" s="203"/>
      <c r="N19" s="99"/>
      <c r="O19" s="93"/>
      <c r="P19" s="93"/>
      <c r="Q19" s="93"/>
      <c r="R19" s="93"/>
      <c r="S19" s="93"/>
      <c r="T19" s="93"/>
      <c r="U19" s="93"/>
      <c r="V19" s="93"/>
    </row>
    <row r="20" spans="2:22" ht="189.75" customHeight="1" x14ac:dyDescent="0.25">
      <c r="B20" s="196" t="s">
        <v>155</v>
      </c>
      <c r="C20" s="196" t="s">
        <v>156</v>
      </c>
      <c r="D20" s="200"/>
      <c r="E20" s="200"/>
      <c r="F20" s="201"/>
      <c r="G20" s="201"/>
      <c r="H20" s="201"/>
      <c r="I20" s="202"/>
      <c r="J20" s="203"/>
      <c r="K20" s="203"/>
      <c r="L20" s="203"/>
      <c r="M20" s="203"/>
      <c r="N20" s="99"/>
      <c r="O20" s="93"/>
      <c r="P20" s="93"/>
      <c r="Q20" s="93"/>
      <c r="R20" s="93"/>
      <c r="S20" s="93"/>
      <c r="T20" s="93"/>
      <c r="U20" s="93"/>
      <c r="V20" s="93"/>
    </row>
    <row r="21" spans="2:22" ht="92.25" customHeight="1" x14ac:dyDescent="0.25">
      <c r="B21" s="197"/>
      <c r="C21" s="202"/>
      <c r="D21" s="204"/>
      <c r="E21" s="204" t="s">
        <v>1238</v>
      </c>
      <c r="F21" s="205">
        <v>101</v>
      </c>
      <c r="G21" s="206" t="s">
        <v>1075</v>
      </c>
      <c r="H21" s="201"/>
      <c r="I21" s="202"/>
      <c r="J21" s="203"/>
      <c r="K21" s="203"/>
      <c r="L21" s="203"/>
      <c r="M21" s="203"/>
      <c r="N21" s="99"/>
      <c r="O21" s="93"/>
      <c r="P21" s="93"/>
      <c r="Q21" s="93"/>
      <c r="R21" s="93"/>
      <c r="S21" s="93"/>
      <c r="T21" s="93"/>
      <c r="U21" s="93"/>
      <c r="V21" s="93"/>
    </row>
    <row r="22" spans="2:22" ht="76.5" customHeight="1" x14ac:dyDescent="0.25">
      <c r="B22" s="35" t="s">
        <v>157</v>
      </c>
      <c r="C22" s="35" t="s">
        <v>158</v>
      </c>
      <c r="D22" s="200"/>
      <c r="E22" s="200"/>
      <c r="F22" s="201"/>
      <c r="G22" s="201"/>
      <c r="H22" s="208">
        <f>'4_priedo_1'!H32</f>
        <v>895999.62</v>
      </c>
      <c r="I22" s="212">
        <f>'4_priedo_1'!I32+'4_priedo_1'!J32</f>
        <v>851199.64</v>
      </c>
      <c r="J22" s="210">
        <f>'4_priedo_1'!K32</f>
        <v>44799.979999999938</v>
      </c>
      <c r="K22" s="210">
        <f>'4_priedo_1'!P32</f>
        <v>895999.62</v>
      </c>
      <c r="L22" s="210">
        <f>'4_priedo_1'!Q32+'4_priedo_1'!R32</f>
        <v>851199.64</v>
      </c>
      <c r="M22" s="210">
        <f>'4_priedo_1'!S32</f>
        <v>44799.98</v>
      </c>
      <c r="N22" s="54"/>
      <c r="O22" s="93"/>
      <c r="P22" s="93"/>
      <c r="Q22" s="93"/>
      <c r="R22" s="93"/>
      <c r="S22" s="93"/>
      <c r="T22" s="93"/>
      <c r="U22" s="93"/>
      <c r="V22" s="93"/>
    </row>
    <row r="23" spans="2:22" ht="117.75" customHeight="1" x14ac:dyDescent="0.25">
      <c r="B23" s="11"/>
      <c r="C23" s="211"/>
      <c r="D23" s="32" t="s">
        <v>705</v>
      </c>
      <c r="E23" s="32" t="s">
        <v>706</v>
      </c>
      <c r="F23" s="32">
        <f>'4_priedo_2'!I33</f>
        <v>43328.23</v>
      </c>
      <c r="G23" s="32">
        <f>'4_priedo_2'!K33</f>
        <v>43328.23</v>
      </c>
      <c r="H23" s="201"/>
      <c r="I23" s="213"/>
      <c r="J23" s="203"/>
      <c r="K23" s="203"/>
      <c r="L23" s="203"/>
      <c r="M23" s="203"/>
      <c r="N23" s="54"/>
      <c r="O23" s="93"/>
      <c r="P23" s="93"/>
      <c r="Q23" s="93"/>
      <c r="R23" s="93"/>
      <c r="S23" s="93"/>
      <c r="T23" s="93"/>
      <c r="U23" s="93"/>
      <c r="V23" s="93"/>
    </row>
    <row r="24" spans="2:22" ht="115.5" customHeight="1" x14ac:dyDescent="0.25">
      <c r="B24" s="11"/>
      <c r="C24" s="211"/>
      <c r="D24" s="32" t="s">
        <v>707</v>
      </c>
      <c r="E24" s="32" t="s">
        <v>708</v>
      </c>
      <c r="F24" s="32">
        <f>'4_priedo_2'!N33</f>
        <v>84.82</v>
      </c>
      <c r="G24" s="32">
        <f>'4_priedo_2'!P33</f>
        <v>84.82</v>
      </c>
      <c r="H24" s="201"/>
      <c r="I24" s="213"/>
      <c r="J24" s="203"/>
      <c r="K24" s="203"/>
      <c r="L24" s="203"/>
      <c r="M24" s="203"/>
      <c r="N24" s="54"/>
      <c r="O24" s="93"/>
      <c r="P24" s="93"/>
      <c r="Q24" s="93"/>
      <c r="R24" s="93"/>
      <c r="S24" s="93"/>
      <c r="T24" s="93"/>
      <c r="U24" s="93"/>
      <c r="V24" s="93"/>
    </row>
    <row r="25" spans="2:22" ht="13.5" hidden="1" customHeight="1" x14ac:dyDescent="0.25">
      <c r="B25" s="11"/>
      <c r="C25" s="211"/>
      <c r="D25" s="214"/>
      <c r="E25" s="214"/>
      <c r="F25" s="208"/>
      <c r="G25" s="208"/>
      <c r="H25" s="201"/>
      <c r="I25" s="202"/>
      <c r="J25" s="203"/>
      <c r="K25" s="203"/>
      <c r="L25" s="203"/>
      <c r="M25" s="203"/>
      <c r="N25" s="99"/>
      <c r="O25" s="93"/>
      <c r="P25" s="93"/>
      <c r="Q25" s="93"/>
      <c r="R25" s="93"/>
      <c r="S25" s="93"/>
      <c r="T25" s="93"/>
      <c r="U25" s="93"/>
      <c r="V25" s="93"/>
    </row>
    <row r="26" spans="2:22" ht="199.5" customHeight="1" x14ac:dyDescent="0.25">
      <c r="B26" s="196" t="s">
        <v>165</v>
      </c>
      <c r="C26" s="196" t="s">
        <v>166</v>
      </c>
      <c r="D26" s="200"/>
      <c r="E26" s="200"/>
      <c r="F26" s="201"/>
      <c r="G26" s="201"/>
      <c r="H26" s="201"/>
      <c r="I26" s="202"/>
      <c r="J26" s="203"/>
      <c r="K26" s="203"/>
      <c r="L26" s="203"/>
      <c r="M26" s="203"/>
      <c r="N26" s="99"/>
      <c r="O26" s="93"/>
      <c r="P26" s="93"/>
      <c r="Q26" s="93"/>
      <c r="R26" s="93"/>
      <c r="S26" s="93"/>
      <c r="T26" s="93"/>
      <c r="U26" s="93"/>
      <c r="V26" s="93"/>
    </row>
    <row r="27" spans="2:22" ht="97.5" customHeight="1" x14ac:dyDescent="0.25">
      <c r="B27" s="197"/>
      <c r="C27" s="202"/>
      <c r="D27" s="204"/>
      <c r="E27" s="204" t="s">
        <v>1238</v>
      </c>
      <c r="F27" s="205">
        <v>103</v>
      </c>
      <c r="G27" s="206" t="s">
        <v>1075</v>
      </c>
      <c r="H27" s="201"/>
      <c r="I27" s="202"/>
      <c r="J27" s="203"/>
      <c r="K27" s="203"/>
      <c r="L27" s="203"/>
      <c r="M27" s="203"/>
      <c r="N27" s="99"/>
      <c r="O27" s="93"/>
      <c r="P27" s="93"/>
      <c r="Q27" s="93"/>
      <c r="R27" s="93"/>
      <c r="S27" s="93"/>
      <c r="T27" s="93"/>
      <c r="U27" s="93"/>
      <c r="V27" s="93"/>
    </row>
    <row r="28" spans="2:22" ht="76.5" customHeight="1" x14ac:dyDescent="0.25">
      <c r="B28" s="32" t="s">
        <v>167</v>
      </c>
      <c r="C28" s="32" t="s">
        <v>168</v>
      </c>
      <c r="D28" s="200"/>
      <c r="E28" s="200"/>
      <c r="F28" s="201"/>
      <c r="G28" s="201"/>
      <c r="H28" s="208"/>
      <c r="I28" s="212"/>
      <c r="J28" s="210"/>
      <c r="K28" s="210"/>
      <c r="L28" s="210"/>
      <c r="M28" s="210"/>
      <c r="N28" s="54"/>
      <c r="O28" s="93"/>
      <c r="P28" s="93"/>
      <c r="Q28" s="93"/>
      <c r="R28" s="93"/>
      <c r="S28" s="93"/>
      <c r="T28" s="93"/>
      <c r="U28" s="93"/>
      <c r="V28" s="93"/>
    </row>
    <row r="29" spans="2:22" ht="27" customHeight="1" x14ac:dyDescent="0.25">
      <c r="B29" s="197"/>
      <c r="C29" s="202"/>
      <c r="D29" s="214"/>
      <c r="E29" s="214"/>
      <c r="F29" s="208"/>
      <c r="G29" s="208"/>
      <c r="H29" s="201"/>
      <c r="I29" s="202"/>
      <c r="J29" s="203"/>
      <c r="K29" s="203"/>
      <c r="L29" s="203"/>
      <c r="M29" s="203"/>
      <c r="N29" s="99"/>
      <c r="O29" s="93"/>
      <c r="P29" s="93"/>
      <c r="Q29" s="93"/>
      <c r="R29" s="93"/>
      <c r="S29" s="93"/>
      <c r="T29" s="93"/>
      <c r="U29" s="93"/>
      <c r="V29" s="93"/>
    </row>
    <row r="30" spans="2:22" ht="89.25" customHeight="1" x14ac:dyDescent="0.25">
      <c r="B30" s="32" t="s">
        <v>169</v>
      </c>
      <c r="C30" s="32" t="s">
        <v>170</v>
      </c>
      <c r="D30" s="200"/>
      <c r="E30" s="200"/>
      <c r="F30" s="201"/>
      <c r="G30" s="201"/>
      <c r="H30" s="208"/>
      <c r="I30" s="212"/>
      <c r="J30" s="210"/>
      <c r="K30" s="210"/>
      <c r="L30" s="210"/>
      <c r="M30" s="210"/>
      <c r="N30" s="54"/>
      <c r="O30" s="93"/>
      <c r="P30" s="93"/>
      <c r="Q30" s="93"/>
      <c r="R30" s="93"/>
      <c r="S30" s="93"/>
      <c r="T30" s="93"/>
      <c r="U30" s="93"/>
      <c r="V30" s="93"/>
    </row>
    <row r="31" spans="2:22" ht="27" customHeight="1" x14ac:dyDescent="0.25">
      <c r="B31" s="197"/>
      <c r="C31" s="202"/>
      <c r="D31" s="214"/>
      <c r="E31" s="214"/>
      <c r="F31" s="208"/>
      <c r="G31" s="208"/>
      <c r="H31" s="201"/>
      <c r="I31" s="202"/>
      <c r="J31" s="203"/>
      <c r="K31" s="203"/>
      <c r="L31" s="203"/>
      <c r="M31" s="203"/>
      <c r="N31" s="99"/>
      <c r="O31" s="93"/>
      <c r="P31" s="93"/>
      <c r="Q31" s="93"/>
      <c r="R31" s="93"/>
      <c r="S31" s="93"/>
      <c r="T31" s="93"/>
      <c r="U31" s="93"/>
      <c r="V31" s="93"/>
    </row>
    <row r="32" spans="2:22" ht="105.75" customHeight="1" x14ac:dyDescent="0.25">
      <c r="B32" s="198" t="s">
        <v>171</v>
      </c>
      <c r="C32" s="198" t="s">
        <v>172</v>
      </c>
      <c r="D32" s="197"/>
      <c r="E32" s="197"/>
      <c r="F32" s="197"/>
      <c r="G32" s="197"/>
      <c r="H32" s="197"/>
      <c r="I32" s="197"/>
      <c r="J32" s="197"/>
      <c r="K32" s="197"/>
      <c r="L32" s="197"/>
      <c r="M32" s="197"/>
      <c r="N32" s="99"/>
      <c r="O32" s="93"/>
      <c r="P32" s="93"/>
      <c r="Q32" s="93"/>
      <c r="R32" s="93"/>
      <c r="S32" s="93"/>
      <c r="T32" s="93"/>
      <c r="U32" s="93"/>
      <c r="V32" s="93"/>
    </row>
    <row r="33" spans="2:22" ht="150.75" customHeight="1" x14ac:dyDescent="0.25">
      <c r="B33" s="197"/>
      <c r="C33" s="197"/>
      <c r="D33" s="198"/>
      <c r="E33" s="198" t="s">
        <v>1239</v>
      </c>
      <c r="F33" s="215">
        <v>90</v>
      </c>
      <c r="G33" s="215" t="s">
        <v>1075</v>
      </c>
      <c r="H33" s="197"/>
      <c r="I33" s="197"/>
      <c r="J33" s="197"/>
      <c r="K33" s="197"/>
      <c r="L33" s="197"/>
      <c r="M33" s="197"/>
      <c r="N33" s="99"/>
      <c r="O33" s="93"/>
      <c r="P33" s="93"/>
      <c r="Q33" s="93"/>
      <c r="R33" s="93"/>
      <c r="S33" s="93"/>
      <c r="T33" s="93"/>
      <c r="U33" s="93"/>
      <c r="V33" s="93"/>
    </row>
    <row r="34" spans="2:22" ht="90" customHeight="1" x14ac:dyDescent="0.25">
      <c r="B34" s="196" t="s">
        <v>1059</v>
      </c>
      <c r="C34" s="196" t="s">
        <v>1060</v>
      </c>
      <c r="D34" s="200"/>
      <c r="E34" s="200"/>
      <c r="F34" s="201"/>
      <c r="G34" s="201"/>
      <c r="H34" s="201"/>
      <c r="I34" s="213"/>
      <c r="J34" s="203"/>
      <c r="K34" s="203"/>
      <c r="L34" s="203"/>
      <c r="M34" s="203"/>
      <c r="N34" s="54"/>
      <c r="O34" s="93"/>
      <c r="P34" s="93"/>
      <c r="Q34" s="93"/>
      <c r="R34" s="93"/>
      <c r="S34" s="93"/>
      <c r="T34" s="93"/>
      <c r="U34" s="93"/>
      <c r="V34" s="93"/>
    </row>
    <row r="35" spans="2:22" ht="119.25" customHeight="1" x14ac:dyDescent="0.25">
      <c r="B35" s="11"/>
      <c r="C35" s="211"/>
      <c r="D35" s="215"/>
      <c r="E35" s="215" t="s">
        <v>1061</v>
      </c>
      <c r="F35" s="206">
        <v>102</v>
      </c>
      <c r="G35" s="206">
        <v>63.08</v>
      </c>
      <c r="H35" s="201"/>
      <c r="I35" s="213"/>
      <c r="J35" s="203"/>
      <c r="K35" s="203"/>
      <c r="L35" s="203"/>
      <c r="M35" s="203"/>
      <c r="N35" s="54"/>
      <c r="O35" s="93"/>
      <c r="P35" s="93"/>
      <c r="Q35" s="101">
        <f>56573.7/89688.1*100</f>
        <v>63.078267908451615</v>
      </c>
      <c r="R35" s="93"/>
      <c r="S35" s="93"/>
      <c r="T35" s="93"/>
      <c r="U35" s="93"/>
      <c r="V35" s="93"/>
    </row>
    <row r="36" spans="2:22" ht="44.25" customHeight="1" x14ac:dyDescent="0.25">
      <c r="B36" s="216" t="s">
        <v>175</v>
      </c>
      <c r="C36" s="216" t="s">
        <v>176</v>
      </c>
      <c r="D36" s="200"/>
      <c r="E36" s="200"/>
      <c r="F36" s="201"/>
      <c r="G36" s="201"/>
      <c r="H36" s="208">
        <f>'4_priedo_1'!H40</f>
        <v>5457345.5100000007</v>
      </c>
      <c r="I36" s="224">
        <f>'4_priedo_1'!I40</f>
        <v>3988783.2</v>
      </c>
      <c r="J36" s="225">
        <f>'4_priedo_1'!K40</f>
        <v>1468562.3099999998</v>
      </c>
      <c r="K36" s="210">
        <f>'4_priedo_1'!P40</f>
        <v>3779497.4699999997</v>
      </c>
      <c r="L36" s="210">
        <f>'4_priedo_1'!Q40</f>
        <v>2706460.9899999998</v>
      </c>
      <c r="M36" s="210">
        <f>'4_priedo_1'!S40</f>
        <v>1073036.48</v>
      </c>
      <c r="N36" s="54"/>
      <c r="O36" s="93"/>
      <c r="P36" s="93"/>
      <c r="Q36" s="93"/>
      <c r="R36" s="93"/>
      <c r="S36" s="93"/>
      <c r="T36" s="93"/>
      <c r="U36" s="93"/>
      <c r="V36" s="93"/>
    </row>
    <row r="37" spans="2:22" ht="57.75" customHeight="1" x14ac:dyDescent="0.25">
      <c r="B37" s="197"/>
      <c r="C37" s="202"/>
      <c r="D37" s="32" t="s">
        <v>704</v>
      </c>
      <c r="E37" s="32" t="s">
        <v>713</v>
      </c>
      <c r="F37" s="208">
        <f>'4_priedo_2'!I41+'4_priedo_2'!S43</f>
        <v>0.58299999999999996</v>
      </c>
      <c r="G37" s="208">
        <f>'4_priedo_2'!K41+'4_priedo_2'!U43</f>
        <v>0.23599999999999999</v>
      </c>
      <c r="H37" s="201"/>
      <c r="I37" s="202"/>
      <c r="J37" s="203"/>
      <c r="K37" s="203"/>
      <c r="L37" s="203"/>
      <c r="M37" s="203"/>
      <c r="N37" s="99"/>
      <c r="O37" s="93"/>
      <c r="P37" s="93"/>
      <c r="Q37" s="93"/>
      <c r="R37" s="93"/>
      <c r="S37" s="93"/>
      <c r="T37" s="93"/>
      <c r="U37" s="93"/>
      <c r="V37" s="93"/>
    </row>
    <row r="38" spans="2:22" ht="69.75" customHeight="1" x14ac:dyDescent="0.25">
      <c r="B38" s="197"/>
      <c r="C38" s="202"/>
      <c r="D38" s="32" t="s">
        <v>693</v>
      </c>
      <c r="E38" s="32" t="s">
        <v>715</v>
      </c>
      <c r="F38" s="208">
        <f>SUM('4_priedo_2'!I42:'4_priedo_2'!I50)</f>
        <v>5.5389999999999997</v>
      </c>
      <c r="G38" s="208">
        <f>SUM('4_priedo_2'!K42:'4_priedo_2'!K50)</f>
        <v>2.9489999999999998</v>
      </c>
      <c r="H38" s="201"/>
      <c r="I38" s="202"/>
      <c r="J38" s="203"/>
      <c r="K38" s="203"/>
      <c r="L38" s="203"/>
      <c r="M38" s="203"/>
      <c r="N38" s="99"/>
      <c r="O38" s="93"/>
      <c r="P38" s="93"/>
      <c r="Q38" s="93"/>
      <c r="R38" s="93"/>
      <c r="S38" s="93"/>
      <c r="T38" s="93"/>
      <c r="U38" s="93"/>
      <c r="V38" s="93"/>
    </row>
    <row r="39" spans="2:22" ht="77.25" customHeight="1" x14ac:dyDescent="0.25">
      <c r="B39" s="197"/>
      <c r="C39" s="202"/>
      <c r="D39" s="32" t="s">
        <v>716</v>
      </c>
      <c r="E39" s="32" t="s">
        <v>717</v>
      </c>
      <c r="F39" s="208">
        <f>SUM('4_priedo_2'!I51:'4_priedo_2'!I53)+SUM('4_priedo_2'!N42:'4_priedo_2'!N49)</f>
        <v>12</v>
      </c>
      <c r="G39" s="208">
        <f>SUM('4_priedo_2'!K51:'4_priedo_2'!K53)+SUM('4_priedo_2'!P42:'4_priedo_2'!P49)</f>
        <v>6</v>
      </c>
      <c r="H39" s="201"/>
      <c r="I39" s="202"/>
      <c r="J39" s="203"/>
      <c r="K39" s="203"/>
      <c r="L39" s="203"/>
      <c r="M39" s="203"/>
      <c r="N39" s="99"/>
      <c r="O39" s="93"/>
      <c r="P39" s="93"/>
      <c r="Q39" s="93"/>
      <c r="R39" s="93"/>
      <c r="S39" s="93"/>
      <c r="T39" s="93"/>
      <c r="U39" s="93"/>
      <c r="V39" s="93"/>
    </row>
    <row r="40" spans="2:22" ht="120" customHeight="1" x14ac:dyDescent="0.25">
      <c r="B40" s="32" t="s">
        <v>227</v>
      </c>
      <c r="C40" s="32" t="s">
        <v>228</v>
      </c>
      <c r="D40" s="200"/>
      <c r="E40" s="200"/>
      <c r="F40" s="201"/>
      <c r="G40" s="201"/>
      <c r="H40" s="201"/>
      <c r="I40" s="213"/>
      <c r="J40" s="203"/>
      <c r="K40" s="203"/>
      <c r="L40" s="203"/>
      <c r="M40" s="203"/>
      <c r="N40" s="54"/>
      <c r="O40" s="93"/>
      <c r="P40" s="93"/>
      <c r="Q40" s="93"/>
      <c r="R40" s="93"/>
      <c r="S40" s="93"/>
      <c r="T40" s="93"/>
      <c r="U40" s="93"/>
      <c r="V40" s="93"/>
    </row>
    <row r="41" spans="2:22" ht="58.5" customHeight="1" x14ac:dyDescent="0.25">
      <c r="B41" s="197"/>
      <c r="C41" s="202"/>
      <c r="D41" s="214"/>
      <c r="E41" s="214" t="s">
        <v>1062</v>
      </c>
      <c r="F41" s="208">
        <v>9</v>
      </c>
      <c r="G41" s="208">
        <v>8</v>
      </c>
      <c r="H41" s="201"/>
      <c r="I41" s="202"/>
      <c r="J41" s="203"/>
      <c r="K41" s="203"/>
      <c r="L41" s="203"/>
      <c r="M41" s="203"/>
      <c r="N41" s="99"/>
      <c r="O41" s="93"/>
      <c r="P41" s="93"/>
      <c r="Q41" s="93"/>
      <c r="R41" s="93"/>
      <c r="S41" s="93"/>
      <c r="T41" s="93"/>
      <c r="U41" s="93"/>
      <c r="V41" s="93"/>
    </row>
    <row r="42" spans="2:22" ht="66.75" customHeight="1" x14ac:dyDescent="0.25">
      <c r="B42" s="207" t="s">
        <v>229</v>
      </c>
      <c r="C42" s="207" t="s">
        <v>230</v>
      </c>
      <c r="D42" s="200"/>
      <c r="E42" s="200"/>
      <c r="F42" s="201"/>
      <c r="G42" s="201"/>
      <c r="H42" s="208">
        <f>'4_priedo_1'!H55</f>
        <v>729764.49</v>
      </c>
      <c r="I42" s="208">
        <f>'4_priedo_1'!I55</f>
        <v>407259</v>
      </c>
      <c r="J42" s="210">
        <f>'4_priedo_1'!K55</f>
        <v>322505.49</v>
      </c>
      <c r="K42" s="210">
        <f>'4_priedo_1'!P55</f>
        <v>445213.42</v>
      </c>
      <c r="L42" s="210">
        <f>'4_priedo_1'!Q55</f>
        <v>286797.41000000003</v>
      </c>
      <c r="M42" s="210">
        <f>'4_priedo_1'!S55</f>
        <v>158416.00999999998</v>
      </c>
      <c r="N42" s="54"/>
      <c r="O42" s="93"/>
      <c r="P42" s="93"/>
      <c r="Q42" s="93"/>
      <c r="R42" s="93"/>
      <c r="S42" s="93"/>
      <c r="T42" s="93"/>
      <c r="U42" s="93"/>
      <c r="V42" s="93"/>
    </row>
    <row r="43" spans="2:22" ht="70.5" customHeight="1" x14ac:dyDescent="0.25">
      <c r="B43" s="197"/>
      <c r="C43" s="202"/>
      <c r="D43" s="29" t="s">
        <v>710</v>
      </c>
      <c r="E43" s="29" t="s">
        <v>723</v>
      </c>
      <c r="F43" s="208">
        <f>'4_priedo_2'!I56+'4_priedo_2'!I57+'4_priedo_2'!I59+'4_priedo_2'!I61</f>
        <v>1.27</v>
      </c>
      <c r="G43" s="208">
        <f>'4_priedo_2'!K56+'4_priedo_2'!K57+'4_priedo_2'!K59+'4_priedo_2'!K61</f>
        <v>0</v>
      </c>
      <c r="H43" s="201"/>
      <c r="I43" s="202"/>
      <c r="J43" s="203"/>
      <c r="K43" s="203"/>
      <c r="L43" s="203"/>
      <c r="M43" s="203"/>
      <c r="N43" s="99"/>
      <c r="O43" s="93"/>
      <c r="P43" s="93"/>
      <c r="Q43" s="93"/>
      <c r="R43" s="93"/>
      <c r="S43" s="93"/>
      <c r="T43" s="93"/>
      <c r="U43" s="93"/>
      <c r="V43" s="93"/>
    </row>
    <row r="44" spans="2:22" ht="70.5" customHeight="1" x14ac:dyDescent="0.25">
      <c r="B44" s="197"/>
      <c r="C44" s="202"/>
      <c r="D44" s="29" t="s">
        <v>711</v>
      </c>
      <c r="E44" s="29" t="s">
        <v>724</v>
      </c>
      <c r="F44" s="208">
        <f>'4_priedo_2'!I58+'4_priedo_2'!I60+'4_priedo_2'!N57</f>
        <v>1.86</v>
      </c>
      <c r="G44" s="208">
        <f>'4_priedo_2'!K58+'4_priedo_2'!K60+'4_priedo_2'!P57</f>
        <v>0.85</v>
      </c>
      <c r="H44" s="201"/>
      <c r="I44" s="202"/>
      <c r="J44" s="203"/>
      <c r="K44" s="203"/>
      <c r="L44" s="203"/>
      <c r="M44" s="203"/>
      <c r="N44" s="99"/>
      <c r="O44" s="93"/>
      <c r="P44" s="93"/>
      <c r="Q44" s="93"/>
      <c r="R44" s="93"/>
      <c r="S44" s="93"/>
      <c r="T44" s="93"/>
      <c r="U44" s="93"/>
      <c r="V44" s="93"/>
    </row>
    <row r="45" spans="2:22" ht="66.75" customHeight="1" x14ac:dyDescent="0.25">
      <c r="B45" s="207" t="s">
        <v>244</v>
      </c>
      <c r="C45" s="207" t="s">
        <v>245</v>
      </c>
      <c r="D45" s="200"/>
      <c r="E45" s="200"/>
      <c r="F45" s="201"/>
      <c r="G45" s="201"/>
      <c r="H45" s="208">
        <f>'4_priedo_1'!H62</f>
        <v>1608793.06</v>
      </c>
      <c r="I45" s="208">
        <f>'4_priedo_1'!I62</f>
        <v>1333052</v>
      </c>
      <c r="J45" s="210">
        <f>'4_priedo_1'!K62</f>
        <v>275741.06</v>
      </c>
      <c r="K45" s="210">
        <f>'4_priedo_1'!P62</f>
        <v>35700</v>
      </c>
      <c r="L45" s="210">
        <f>'4_priedo_1'!Q62</f>
        <v>30345</v>
      </c>
      <c r="M45" s="210">
        <f>'4_priedo_1'!S62</f>
        <v>5355</v>
      </c>
      <c r="N45" s="54"/>
      <c r="O45" s="93"/>
      <c r="P45" s="93"/>
      <c r="Q45" s="93"/>
      <c r="R45" s="93"/>
      <c r="S45" s="93"/>
      <c r="T45" s="93"/>
      <c r="U45" s="93"/>
      <c r="V45" s="93"/>
    </row>
    <row r="46" spans="2:22" ht="57.75" customHeight="1" x14ac:dyDescent="0.25">
      <c r="B46" s="197"/>
      <c r="C46" s="202"/>
      <c r="D46" s="57" t="s">
        <v>702</v>
      </c>
      <c r="E46" s="57" t="s">
        <v>726</v>
      </c>
      <c r="F46" s="208">
        <f>'4_priedo_2'!I64+'4_priedo_2'!I66</f>
        <v>2</v>
      </c>
      <c r="G46" s="208">
        <f>'4_priedo_2'!K64+'4_priedo_2'!K66</f>
        <v>2</v>
      </c>
      <c r="H46" s="201"/>
      <c r="I46" s="202"/>
      <c r="J46" s="203"/>
      <c r="K46" s="203"/>
      <c r="L46" s="203"/>
      <c r="M46" s="203"/>
      <c r="N46" s="99"/>
      <c r="O46" s="93"/>
      <c r="P46" s="93"/>
      <c r="Q46" s="93"/>
      <c r="R46" s="93"/>
      <c r="S46" s="93"/>
      <c r="T46" s="93"/>
      <c r="U46" s="93"/>
      <c r="V46" s="93"/>
    </row>
    <row r="47" spans="2:22" ht="66.75" customHeight="1" x14ac:dyDescent="0.25">
      <c r="B47" s="197"/>
      <c r="C47" s="202"/>
      <c r="D47" s="32" t="s">
        <v>712</v>
      </c>
      <c r="E47" s="32" t="s">
        <v>727</v>
      </c>
      <c r="F47" s="208">
        <f>'4_priedo_2'!I65+'4_priedo_2'!I67</f>
        <v>2</v>
      </c>
      <c r="G47" s="208">
        <f>'4_priedo_2'!K65+'4_priedo_2'!K67</f>
        <v>0</v>
      </c>
      <c r="H47" s="201"/>
      <c r="I47" s="202"/>
      <c r="J47" s="203"/>
      <c r="K47" s="203"/>
      <c r="L47" s="203"/>
      <c r="M47" s="203"/>
      <c r="N47" s="99"/>
      <c r="O47" s="93"/>
      <c r="P47" s="93"/>
      <c r="Q47" s="93"/>
      <c r="R47" s="93"/>
      <c r="S47" s="93"/>
      <c r="T47" s="93"/>
      <c r="U47" s="93"/>
      <c r="V47" s="93"/>
    </row>
    <row r="48" spans="2:22" ht="108.75" customHeight="1" x14ac:dyDescent="0.25">
      <c r="B48" s="217" t="s">
        <v>259</v>
      </c>
      <c r="C48" s="217" t="s">
        <v>260</v>
      </c>
      <c r="D48" s="200"/>
      <c r="E48" s="200"/>
      <c r="F48" s="201"/>
      <c r="G48" s="201"/>
      <c r="H48" s="208">
        <f>'4_priedo_1'!H68</f>
        <v>1191647</v>
      </c>
      <c r="I48" s="208">
        <f>'4_priedo_1'!I68</f>
        <v>1012900</v>
      </c>
      <c r="J48" s="210">
        <f>'4_priedo_1'!K68</f>
        <v>178747</v>
      </c>
      <c r="K48" s="210">
        <f>'4_priedo_1'!P68</f>
        <v>0</v>
      </c>
      <c r="L48" s="210">
        <f>'4_priedo_1'!Q68</f>
        <v>0</v>
      </c>
      <c r="M48" s="210">
        <f>'4_priedo_1'!S68</f>
        <v>0</v>
      </c>
      <c r="N48" s="54"/>
      <c r="O48" s="93"/>
      <c r="P48" s="93"/>
      <c r="Q48" s="93"/>
      <c r="R48" s="93"/>
      <c r="S48" s="93"/>
      <c r="T48" s="93"/>
      <c r="U48" s="93"/>
      <c r="V48" s="93"/>
    </row>
    <row r="49" spans="2:22" ht="77.25" customHeight="1" x14ac:dyDescent="0.25">
      <c r="B49" s="197"/>
      <c r="C49" s="202"/>
      <c r="D49" s="58" t="s">
        <v>714</v>
      </c>
      <c r="E49" s="58" t="s">
        <v>730</v>
      </c>
      <c r="F49" s="208">
        <f>'4_priedo_2'!I70</f>
        <v>4</v>
      </c>
      <c r="G49" s="208">
        <f>'4_priedo_2'!K70</f>
        <v>0</v>
      </c>
      <c r="H49" s="201"/>
      <c r="I49" s="202"/>
      <c r="J49" s="203"/>
      <c r="K49" s="203"/>
      <c r="L49" s="203"/>
      <c r="M49" s="203"/>
      <c r="N49" s="99"/>
      <c r="O49" s="93"/>
      <c r="P49" s="93"/>
      <c r="Q49" s="93"/>
      <c r="R49" s="93"/>
      <c r="S49" s="93"/>
      <c r="T49" s="93"/>
      <c r="U49" s="93"/>
      <c r="V49" s="93"/>
    </row>
    <row r="50" spans="2:22" ht="47.25" customHeight="1" x14ac:dyDescent="0.25">
      <c r="B50" s="217" t="s">
        <v>265</v>
      </c>
      <c r="C50" s="217" t="s">
        <v>266</v>
      </c>
      <c r="D50" s="200"/>
      <c r="E50" s="200"/>
      <c r="F50" s="201"/>
      <c r="G50" s="201"/>
      <c r="H50" s="201"/>
      <c r="I50" s="201"/>
      <c r="J50" s="201"/>
      <c r="K50" s="201"/>
      <c r="L50" s="201"/>
      <c r="M50" s="201"/>
      <c r="N50" s="54"/>
      <c r="O50" s="93"/>
      <c r="P50" s="93"/>
      <c r="Q50" s="93"/>
      <c r="R50" s="93"/>
      <c r="S50" s="93"/>
      <c r="T50" s="93"/>
      <c r="U50" s="93"/>
      <c r="V50" s="93"/>
    </row>
    <row r="51" spans="2:22" ht="90.75" customHeight="1" x14ac:dyDescent="0.25">
      <c r="B51" s="217" t="s">
        <v>267</v>
      </c>
      <c r="C51" s="217" t="s">
        <v>268</v>
      </c>
      <c r="D51" s="201"/>
      <c r="E51" s="201"/>
      <c r="F51" s="201"/>
      <c r="G51" s="201"/>
      <c r="H51" s="201"/>
      <c r="I51" s="202"/>
      <c r="J51" s="203"/>
      <c r="K51" s="203"/>
      <c r="L51" s="203"/>
      <c r="M51" s="203"/>
      <c r="N51" s="99"/>
      <c r="O51" s="93"/>
      <c r="P51" s="93"/>
      <c r="Q51" s="93"/>
      <c r="R51" s="93"/>
      <c r="S51" s="93"/>
      <c r="T51" s="93"/>
      <c r="U51" s="93"/>
      <c r="V51" s="93"/>
    </row>
    <row r="52" spans="2:22" ht="154.5" customHeight="1" x14ac:dyDescent="0.25">
      <c r="B52" s="11"/>
      <c r="C52" s="211"/>
      <c r="D52" s="214"/>
      <c r="E52" s="214" t="s">
        <v>1243</v>
      </c>
      <c r="F52" s="208">
        <v>105</v>
      </c>
      <c r="G52" s="208">
        <v>108</v>
      </c>
      <c r="H52" s="201"/>
      <c r="I52" s="213"/>
      <c r="J52" s="203"/>
      <c r="K52" s="203"/>
      <c r="L52" s="203"/>
      <c r="M52" s="203"/>
      <c r="N52" s="54"/>
      <c r="O52" s="93"/>
      <c r="P52" s="93"/>
      <c r="Q52" s="101" t="s">
        <v>1241</v>
      </c>
      <c r="R52" s="306" t="s">
        <v>1242</v>
      </c>
      <c r="S52" s="101">
        <f>2125/1965*100</f>
        <v>108.14249363867685</v>
      </c>
      <c r="T52" s="93"/>
      <c r="U52" s="93"/>
      <c r="V52" s="93"/>
    </row>
    <row r="53" spans="2:22" ht="72" customHeight="1" x14ac:dyDescent="0.25">
      <c r="B53" s="209" t="s">
        <v>269</v>
      </c>
      <c r="C53" s="214" t="s">
        <v>270</v>
      </c>
      <c r="D53" s="200"/>
      <c r="E53" s="200"/>
      <c r="F53" s="201"/>
      <c r="G53" s="201"/>
      <c r="H53" s="201"/>
      <c r="I53" s="202"/>
      <c r="J53" s="203"/>
      <c r="K53" s="203"/>
      <c r="L53" s="203"/>
      <c r="M53" s="203"/>
      <c r="N53" s="99"/>
      <c r="O53" s="93"/>
      <c r="P53" s="93"/>
      <c r="Q53" s="93"/>
      <c r="R53" s="93"/>
      <c r="S53" s="93"/>
      <c r="T53" s="93"/>
      <c r="U53" s="93"/>
      <c r="V53" s="93"/>
    </row>
    <row r="54" spans="2:22" ht="131.25" customHeight="1" x14ac:dyDescent="0.25">
      <c r="B54" s="197"/>
      <c r="C54" s="202"/>
      <c r="D54" s="204"/>
      <c r="E54" s="204" t="s">
        <v>1063</v>
      </c>
      <c r="F54" s="205">
        <v>6</v>
      </c>
      <c r="G54" s="206">
        <v>1</v>
      </c>
      <c r="H54" s="201"/>
      <c r="I54" s="202"/>
      <c r="J54" s="203"/>
      <c r="K54" s="203"/>
      <c r="L54" s="203"/>
      <c r="M54" s="203"/>
      <c r="N54" s="99"/>
      <c r="O54" s="93"/>
      <c r="P54" s="93"/>
      <c r="Q54" s="93"/>
      <c r="R54" s="93"/>
      <c r="S54" s="93"/>
      <c r="T54" s="93"/>
      <c r="U54" s="93"/>
      <c r="V54" s="93"/>
    </row>
    <row r="55" spans="2:22" ht="85.5" customHeight="1" x14ac:dyDescent="0.25">
      <c r="B55" s="217" t="s">
        <v>271</v>
      </c>
      <c r="C55" s="217" t="s">
        <v>272</v>
      </c>
      <c r="D55" s="200"/>
      <c r="E55" s="200"/>
      <c r="F55" s="201"/>
      <c r="G55" s="201"/>
      <c r="H55" s="208">
        <f>'4_priedo_1'!H73</f>
        <v>1393592.9300000002</v>
      </c>
      <c r="I55" s="210">
        <f>'4_priedo_1'!I73</f>
        <v>1105749.48</v>
      </c>
      <c r="J55" s="210">
        <f>'4_priedo_1'!K73</f>
        <v>287843.45000000007</v>
      </c>
      <c r="K55" s="210">
        <f>'4_priedo_1'!P73</f>
        <v>996175.90000000014</v>
      </c>
      <c r="L55" s="210">
        <f>'4_priedo_1'!Q73</f>
        <v>831654.83000000007</v>
      </c>
      <c r="M55" s="210">
        <f>'4_priedo_1'!S73</f>
        <v>164521.07000000004</v>
      </c>
      <c r="N55" s="54"/>
      <c r="O55" s="93"/>
      <c r="P55" s="93"/>
      <c r="Q55" s="93"/>
      <c r="R55" s="93"/>
      <c r="S55" s="93"/>
      <c r="T55" s="93"/>
      <c r="U55" s="93"/>
      <c r="V55" s="93"/>
    </row>
    <row r="56" spans="2:22" ht="117.75" customHeight="1" x14ac:dyDescent="0.25">
      <c r="B56" s="11"/>
      <c r="C56" s="211"/>
      <c r="D56" s="58" t="s">
        <v>721</v>
      </c>
      <c r="E56" s="58" t="s">
        <v>731</v>
      </c>
      <c r="F56" s="208">
        <f>SUM('4_priedo_2'!I75:'4_priedo_2'!I78)</f>
        <v>4</v>
      </c>
      <c r="G56" s="208">
        <f>SUM('4_priedo_2'!K75:'4_priedo_2'!K78)</f>
        <v>2</v>
      </c>
      <c r="H56" s="201"/>
      <c r="I56" s="213"/>
      <c r="J56" s="203"/>
      <c r="K56" s="203"/>
      <c r="L56" s="203"/>
      <c r="M56" s="203"/>
      <c r="N56" s="54"/>
      <c r="O56" s="93"/>
      <c r="P56" s="93"/>
      <c r="Q56" s="93"/>
      <c r="R56" s="93"/>
      <c r="S56" s="93"/>
      <c r="T56" s="93"/>
      <c r="U56" s="93"/>
      <c r="V56" s="93"/>
    </row>
    <row r="57" spans="2:22" ht="158.25" customHeight="1" x14ac:dyDescent="0.25">
      <c r="B57" s="11"/>
      <c r="C57" s="211"/>
      <c r="D57" s="58" t="s">
        <v>692</v>
      </c>
      <c r="E57" s="58" t="s">
        <v>732</v>
      </c>
      <c r="F57" s="208">
        <f>SUM('4_priedo_2'!N75:'4_priedo_2'!N78)</f>
        <v>7400</v>
      </c>
      <c r="G57" s="208">
        <f>SUM('4_priedo_2'!P75:'4_priedo_2'!P78)</f>
        <v>4200</v>
      </c>
      <c r="H57" s="201"/>
      <c r="I57" s="213"/>
      <c r="J57" s="203"/>
      <c r="K57" s="203"/>
      <c r="L57" s="203"/>
      <c r="M57" s="203"/>
      <c r="N57" s="54"/>
      <c r="O57" s="93"/>
      <c r="P57" s="93"/>
      <c r="Q57" s="93"/>
      <c r="R57" s="93"/>
      <c r="S57" s="93"/>
      <c r="T57" s="93"/>
      <c r="U57" s="93"/>
      <c r="V57" s="93"/>
    </row>
    <row r="58" spans="2:22" ht="63" customHeight="1" x14ac:dyDescent="0.25">
      <c r="B58" s="58" t="s">
        <v>294</v>
      </c>
      <c r="C58" s="58" t="s">
        <v>295</v>
      </c>
      <c r="D58" s="200"/>
      <c r="E58" s="200"/>
      <c r="F58" s="201"/>
      <c r="G58" s="201"/>
      <c r="H58" s="201"/>
      <c r="I58" s="202"/>
      <c r="J58" s="203"/>
      <c r="K58" s="203"/>
      <c r="L58" s="203"/>
      <c r="M58" s="203"/>
      <c r="N58" s="99"/>
      <c r="O58" s="93"/>
      <c r="P58" s="93"/>
      <c r="Q58" s="93"/>
      <c r="R58" s="93"/>
      <c r="S58" s="93"/>
      <c r="T58" s="93"/>
      <c r="U58" s="93"/>
      <c r="V58" s="93"/>
    </row>
    <row r="59" spans="2:22" ht="54.75" customHeight="1" x14ac:dyDescent="0.25">
      <c r="B59" s="197"/>
      <c r="C59" s="202"/>
      <c r="D59" s="204"/>
      <c r="E59" s="204" t="s">
        <v>1064</v>
      </c>
      <c r="F59" s="205">
        <v>6</v>
      </c>
      <c r="G59" s="206">
        <v>0</v>
      </c>
      <c r="H59" s="201"/>
      <c r="I59" s="202"/>
      <c r="J59" s="203"/>
      <c r="K59" s="203"/>
      <c r="L59" s="203"/>
      <c r="M59" s="203"/>
      <c r="N59" s="99"/>
      <c r="O59" s="93"/>
      <c r="P59" s="93"/>
      <c r="Q59" s="93"/>
      <c r="R59" s="93"/>
      <c r="S59" s="93"/>
      <c r="T59" s="93"/>
      <c r="U59" s="93"/>
      <c r="V59" s="93"/>
    </row>
    <row r="60" spans="2:22" ht="122.25" customHeight="1" x14ac:dyDescent="0.25">
      <c r="B60" s="217" t="s">
        <v>296</v>
      </c>
      <c r="C60" s="217" t="s">
        <v>297</v>
      </c>
      <c r="D60" s="197"/>
      <c r="E60" s="197"/>
      <c r="F60" s="197"/>
      <c r="G60" s="197"/>
      <c r="H60" s="214">
        <f>'4_priedo_1'!H79</f>
        <v>971293.24000000011</v>
      </c>
      <c r="I60" s="214">
        <f>'4_priedo_1'!I79</f>
        <v>825598.65</v>
      </c>
      <c r="J60" s="214">
        <f>'4_priedo_1'!K79</f>
        <v>145694.59000000003</v>
      </c>
      <c r="K60" s="214">
        <f>'4_priedo_1'!P79</f>
        <v>0</v>
      </c>
      <c r="L60" s="214">
        <f>'4_priedo_1'!Q79</f>
        <v>0</v>
      </c>
      <c r="M60" s="214">
        <f>'4_priedo_1'!S79</f>
        <v>0</v>
      </c>
      <c r="N60" s="99"/>
      <c r="O60" s="93"/>
      <c r="P60" s="93"/>
      <c r="Q60" s="218"/>
      <c r="R60" s="218"/>
      <c r="S60" s="93"/>
      <c r="T60" s="218"/>
      <c r="U60" s="218"/>
      <c r="V60" s="93"/>
    </row>
    <row r="61" spans="2:22" ht="56.25" customHeight="1" x14ac:dyDescent="0.25">
      <c r="B61" s="197"/>
      <c r="C61" s="197"/>
      <c r="D61" s="32" t="s">
        <v>709</v>
      </c>
      <c r="E61" s="32" t="s">
        <v>733</v>
      </c>
      <c r="F61" s="309">
        <f>'4_priedo_2'!I81+'4_priedo_2'!I82+'4_priedo_2'!I83</f>
        <v>184</v>
      </c>
      <c r="G61" s="309">
        <f>'4_priedo_2'!K81+'4_priedo_2'!K82+'4_priedo_2'!K83</f>
        <v>0</v>
      </c>
      <c r="H61" s="197"/>
      <c r="I61" s="197"/>
      <c r="J61" s="197"/>
      <c r="K61" s="197"/>
      <c r="L61" s="197"/>
      <c r="M61" s="197"/>
      <c r="N61" s="99"/>
      <c r="O61" s="93"/>
      <c r="P61" s="93"/>
      <c r="Q61" s="218"/>
      <c r="R61" s="218"/>
      <c r="S61" s="93"/>
      <c r="T61" s="218"/>
      <c r="U61" s="218"/>
      <c r="V61" s="93"/>
    </row>
    <row r="62" spans="2:22" ht="64.5" customHeight="1" x14ac:dyDescent="0.25">
      <c r="B62" s="58" t="s">
        <v>304</v>
      </c>
      <c r="C62" s="58" t="s">
        <v>1065</v>
      </c>
      <c r="D62" s="200"/>
      <c r="E62" s="200"/>
      <c r="F62" s="201"/>
      <c r="G62" s="201"/>
      <c r="H62" s="201"/>
      <c r="I62" s="213"/>
      <c r="J62" s="203"/>
      <c r="K62" s="203"/>
      <c r="L62" s="203"/>
      <c r="M62" s="203"/>
      <c r="N62" s="54"/>
      <c r="O62" s="93"/>
      <c r="P62" s="93"/>
      <c r="Q62" s="218"/>
      <c r="R62" s="218"/>
      <c r="S62" s="93"/>
      <c r="T62" s="218"/>
      <c r="U62" s="218"/>
      <c r="V62" s="93"/>
    </row>
    <row r="63" spans="2:22" ht="95.25" customHeight="1" x14ac:dyDescent="0.25">
      <c r="B63" s="219"/>
      <c r="C63" s="219"/>
      <c r="D63" s="215"/>
      <c r="E63" s="215" t="s">
        <v>1244</v>
      </c>
      <c r="F63" s="206">
        <v>1500</v>
      </c>
      <c r="G63" s="206">
        <v>2064.29</v>
      </c>
      <c r="H63" s="201"/>
      <c r="I63" s="213"/>
      <c r="J63" s="203"/>
      <c r="K63" s="203"/>
      <c r="L63" s="203"/>
      <c r="M63" s="203"/>
      <c r="N63" s="54"/>
      <c r="O63" s="93"/>
      <c r="P63" s="93"/>
      <c r="Q63" s="218"/>
      <c r="R63" s="218"/>
      <c r="S63" s="93"/>
      <c r="T63" s="218"/>
      <c r="U63" s="218"/>
      <c r="V63" s="93"/>
    </row>
    <row r="64" spans="2:22" ht="141" customHeight="1" x14ac:dyDescent="0.25">
      <c r="B64" s="58" t="s">
        <v>305</v>
      </c>
      <c r="C64" s="58" t="s">
        <v>306</v>
      </c>
      <c r="D64" s="200"/>
      <c r="E64" s="200"/>
      <c r="F64" s="201"/>
      <c r="G64" s="201"/>
      <c r="H64" s="220"/>
      <c r="I64" s="221"/>
      <c r="J64" s="222"/>
      <c r="K64" s="222"/>
      <c r="L64" s="222"/>
      <c r="M64" s="222"/>
      <c r="N64" s="54"/>
      <c r="O64" s="93"/>
      <c r="P64" s="93"/>
      <c r="Q64" s="93"/>
      <c r="R64" s="93"/>
      <c r="S64" s="93"/>
      <c r="T64" s="93"/>
      <c r="U64" s="93"/>
      <c r="V64" s="93"/>
    </row>
    <row r="65" spans="2:23" ht="94.5" customHeight="1" x14ac:dyDescent="0.25">
      <c r="B65" s="11"/>
      <c r="C65" s="211"/>
      <c r="D65" s="215"/>
      <c r="E65" s="215" t="s">
        <v>1066</v>
      </c>
      <c r="F65" s="206">
        <v>2000</v>
      </c>
      <c r="G65" s="206" t="s">
        <v>1075</v>
      </c>
      <c r="H65" s="201"/>
      <c r="I65" s="213"/>
      <c r="J65" s="203"/>
      <c r="K65" s="203"/>
      <c r="L65" s="203"/>
      <c r="M65" s="203"/>
      <c r="N65" s="54"/>
      <c r="O65" s="93"/>
      <c r="P65" s="93"/>
      <c r="Q65" s="93"/>
      <c r="R65" s="93"/>
      <c r="S65" s="93"/>
      <c r="T65" s="93"/>
      <c r="U65" s="93"/>
      <c r="V65" s="93"/>
    </row>
    <row r="66" spans="2:23" ht="116.25" customHeight="1" x14ac:dyDescent="0.25">
      <c r="B66" s="11"/>
      <c r="C66" s="211"/>
      <c r="D66" s="215"/>
      <c r="E66" s="215" t="s">
        <v>1067</v>
      </c>
      <c r="F66" s="206">
        <v>90</v>
      </c>
      <c r="G66" s="206">
        <v>86</v>
      </c>
      <c r="H66" s="201"/>
      <c r="I66" s="213"/>
      <c r="J66" s="203"/>
      <c r="K66" s="203"/>
      <c r="L66" s="203"/>
      <c r="M66" s="203"/>
      <c r="N66" s="54"/>
      <c r="O66" s="101">
        <f>98.7+29.1</f>
        <v>127.80000000000001</v>
      </c>
      <c r="P66" s="306" t="s">
        <v>1259</v>
      </c>
      <c r="Q66" s="101" t="s">
        <v>1260</v>
      </c>
      <c r="R66" s="101" t="s">
        <v>1257</v>
      </c>
      <c r="S66" s="311" t="s">
        <v>1258</v>
      </c>
      <c r="T66" s="101">
        <f>85+83+82+92</f>
        <v>342</v>
      </c>
      <c r="U66" s="312">
        <f>T66/4</f>
        <v>85.5</v>
      </c>
      <c r="V66" s="101"/>
      <c r="W66" s="313"/>
    </row>
    <row r="67" spans="2:23" ht="113.25" customHeight="1" x14ac:dyDescent="0.25">
      <c r="B67" s="11"/>
      <c r="C67" s="211"/>
      <c r="D67" s="215"/>
      <c r="E67" s="215" t="s">
        <v>1068</v>
      </c>
      <c r="F67" s="206">
        <v>90</v>
      </c>
      <c r="G67" s="206">
        <v>54</v>
      </c>
      <c r="H67" s="201"/>
      <c r="I67" s="213"/>
      <c r="J67" s="203"/>
      <c r="K67" s="203"/>
      <c r="L67" s="203"/>
      <c r="M67" s="203"/>
      <c r="N67" s="54"/>
      <c r="O67" s="101">
        <f>O66/2</f>
        <v>63.900000000000006</v>
      </c>
      <c r="P67" s="101">
        <v>64</v>
      </c>
      <c r="Q67" s="101"/>
      <c r="R67" s="101"/>
      <c r="S67" s="101">
        <f>5858/13649*100</f>
        <v>42.918895157154367</v>
      </c>
      <c r="T67" s="101"/>
      <c r="U67" s="101"/>
      <c r="V67" s="101">
        <f>64+43</f>
        <v>107</v>
      </c>
      <c r="W67" s="44">
        <f>V67/2</f>
        <v>53.5</v>
      </c>
    </row>
    <row r="68" spans="2:23" ht="70.5" customHeight="1" x14ac:dyDescent="0.25">
      <c r="B68" s="11"/>
      <c r="C68" s="211"/>
      <c r="D68" s="215"/>
      <c r="E68" s="215" t="s">
        <v>1069</v>
      </c>
      <c r="F68" s="206">
        <v>35</v>
      </c>
      <c r="G68" s="206">
        <v>57</v>
      </c>
      <c r="H68" s="201"/>
      <c r="I68" s="213"/>
      <c r="J68" s="203"/>
      <c r="K68" s="203"/>
      <c r="L68" s="203"/>
      <c r="M68" s="203"/>
      <c r="N68" s="54"/>
      <c r="O68" s="93"/>
      <c r="P68" s="93"/>
      <c r="Q68" s="307">
        <f>28128.82*0.7636</f>
        <v>21479.166952</v>
      </c>
      <c r="R68" s="312">
        <f>Q68/37645.44*100</f>
        <v>57.056490645347743</v>
      </c>
      <c r="S68" s="93"/>
      <c r="T68" s="93"/>
      <c r="U68" s="93"/>
      <c r="V68" s="93"/>
    </row>
    <row r="69" spans="2:23" ht="144" customHeight="1" x14ac:dyDescent="0.25">
      <c r="B69" s="58" t="s">
        <v>307</v>
      </c>
      <c r="C69" s="58" t="s">
        <v>308</v>
      </c>
      <c r="D69" s="200"/>
      <c r="E69" s="200"/>
      <c r="F69" s="201"/>
      <c r="G69" s="201"/>
      <c r="H69" s="208">
        <f>'4_priedo_1'!H86</f>
        <v>14893271.4</v>
      </c>
      <c r="I69" s="225">
        <f>'4_priedo_1'!I86</f>
        <v>8830993.7300000004</v>
      </c>
      <c r="J69" s="225">
        <f>'4_priedo_1'!K86</f>
        <v>6062277.6700000009</v>
      </c>
      <c r="K69" s="210">
        <f>'4_priedo_1'!P86</f>
        <v>11273684.1</v>
      </c>
      <c r="L69" s="210">
        <f>'4_priedo_1'!Q86</f>
        <v>6901264.8300000001</v>
      </c>
      <c r="M69" s="210">
        <f>'4_priedo_1'!S86</f>
        <v>4372419.2699999996</v>
      </c>
      <c r="N69" s="54"/>
      <c r="O69" s="93"/>
      <c r="P69" s="93"/>
      <c r="Q69" s="93"/>
      <c r="R69" s="93"/>
      <c r="S69" s="93"/>
      <c r="T69" s="93"/>
      <c r="U69" s="93"/>
      <c r="V69" s="93"/>
    </row>
    <row r="70" spans="2:23" ht="90.75" customHeight="1" x14ac:dyDescent="0.25">
      <c r="B70" s="11"/>
      <c r="C70" s="211"/>
      <c r="D70" s="58" t="s">
        <v>720</v>
      </c>
      <c r="E70" s="58" t="s">
        <v>734</v>
      </c>
      <c r="F70" s="206">
        <f>'4_priedo_2'!I87+'4_priedo_2'!I89+'4_priedo_2'!X90+'4_priedo_2'!X91+'4_priedo_2'!I93+'4_priedo_2'!S97</f>
        <v>28.39</v>
      </c>
      <c r="G70" s="206">
        <f>'4_priedo_2'!K87+'4_priedo_2'!K89+'4_priedo_2'!Z90+'4_priedo_2'!Z91+'4_priedo_2'!K93+'4_priedo_2'!U97</f>
        <v>26.349999999999998</v>
      </c>
      <c r="H70" s="201"/>
      <c r="I70" s="213"/>
      <c r="J70" s="203"/>
      <c r="K70" s="203"/>
      <c r="L70" s="203"/>
      <c r="M70" s="203"/>
      <c r="N70" s="54"/>
      <c r="O70" s="93"/>
      <c r="P70" s="93"/>
      <c r="Q70" s="93"/>
      <c r="R70" s="93"/>
      <c r="S70" s="93"/>
      <c r="T70" s="93"/>
      <c r="U70" s="93"/>
      <c r="V70" s="93"/>
    </row>
    <row r="71" spans="2:23" ht="168" customHeight="1" x14ac:dyDescent="0.25">
      <c r="B71" s="11"/>
      <c r="C71" s="211"/>
      <c r="D71" s="58" t="s">
        <v>696</v>
      </c>
      <c r="E71" s="58" t="s">
        <v>735</v>
      </c>
      <c r="F71" s="206">
        <f>'4_priedo_2'!N87+'4_priedo_2'!I88+'4_priedo_2'!I90+'4_priedo_2'!I91+'4_priedo_2'!I92+'4_priedo_2'!I94+'4_priedo_2'!I95+'4_priedo_2'!I96+'4_priedo_2'!I97</f>
        <v>1531</v>
      </c>
      <c r="G71" s="206">
        <f>'4_priedo_2'!P87+'4_priedo_2'!K88+'4_priedo_2'!K90+'4_priedo_2'!K91+'4_priedo_2'!K92+'4_priedo_2'!K94+'4_priedo_2'!K95+'4_priedo_2'!K96+'4_priedo_2'!K97</f>
        <v>189</v>
      </c>
      <c r="H71" s="201"/>
      <c r="I71" s="213"/>
      <c r="J71" s="203"/>
      <c r="K71" s="203"/>
      <c r="L71" s="203"/>
      <c r="M71" s="203"/>
      <c r="N71" s="54"/>
      <c r="O71" s="93"/>
      <c r="P71" s="93"/>
      <c r="Q71" s="93"/>
      <c r="R71" s="93"/>
      <c r="S71" s="93"/>
      <c r="T71" s="93"/>
      <c r="U71" s="93"/>
      <c r="V71" s="93"/>
    </row>
    <row r="72" spans="2:23" ht="90.75" customHeight="1" x14ac:dyDescent="0.25">
      <c r="B72" s="11"/>
      <c r="C72" s="211"/>
      <c r="D72" s="58" t="s">
        <v>697</v>
      </c>
      <c r="E72" s="58" t="s">
        <v>736</v>
      </c>
      <c r="F72" s="206">
        <f>'4_priedo_2'!S87</f>
        <v>1298</v>
      </c>
      <c r="G72" s="206">
        <f>'4_priedo_2'!U87</f>
        <v>1298</v>
      </c>
      <c r="H72" s="201"/>
      <c r="I72" s="213"/>
      <c r="J72" s="203"/>
      <c r="K72" s="203"/>
      <c r="L72" s="203"/>
      <c r="M72" s="203"/>
      <c r="N72" s="54"/>
      <c r="O72" s="93"/>
      <c r="P72" s="93"/>
      <c r="Q72" s="93"/>
      <c r="R72" s="93"/>
      <c r="S72" s="93"/>
      <c r="T72" s="93"/>
      <c r="U72" s="93"/>
      <c r="V72" s="93"/>
    </row>
    <row r="73" spans="2:23" ht="90.75" customHeight="1" x14ac:dyDescent="0.25">
      <c r="B73" s="11"/>
      <c r="C73" s="211"/>
      <c r="D73" s="58" t="s">
        <v>698</v>
      </c>
      <c r="E73" s="32" t="s">
        <v>737</v>
      </c>
      <c r="F73" s="206">
        <f>'4_priedo_2'!X87+'4_priedo_2'!N88+'4_priedo_2'!N90+'4_priedo_2'!N91+'4_priedo_2'!N92+'4_priedo_2'!S94+'4_priedo_2'!N95+'4_priedo_2'!N96+'4_priedo_2'!N97</f>
        <v>2236</v>
      </c>
      <c r="G73" s="206">
        <f>'4_priedo_2'!Z87+'4_priedo_2'!P88+'4_priedo_2'!P90+'4_priedo_2'!P91+'4_priedo_2'!P92+'4_priedo_2'!U94+'4_priedo_2'!P95+'4_priedo_2'!P96+'4_priedo_2'!P97</f>
        <v>283</v>
      </c>
      <c r="H73" s="201"/>
      <c r="I73" s="213"/>
      <c r="J73" s="203"/>
      <c r="K73" s="203"/>
      <c r="L73" s="203"/>
      <c r="M73" s="203"/>
      <c r="N73" s="54"/>
      <c r="O73" s="93"/>
      <c r="P73" s="93"/>
      <c r="Q73" s="93"/>
      <c r="R73" s="93"/>
      <c r="S73" s="93"/>
      <c r="T73" s="93"/>
      <c r="U73" s="93"/>
      <c r="V73" s="93"/>
    </row>
    <row r="74" spans="2:23" ht="90.75" customHeight="1" x14ac:dyDescent="0.25">
      <c r="B74" s="11"/>
      <c r="C74" s="211"/>
      <c r="D74" s="32" t="s">
        <v>699</v>
      </c>
      <c r="E74" s="32" t="s">
        <v>738</v>
      </c>
      <c r="F74" s="206">
        <f>'4_priedo_2'!AC87+'4_priedo_2'!S88+'4_priedo_2'!S90+'4_priedo_2'!S91+'4_priedo_2'!S96</f>
        <v>675</v>
      </c>
      <c r="G74" s="206">
        <f>'4_priedo_2'!AE87+'4_priedo_2'!U88+'4_priedo_2'!U90+'4_priedo_2'!U91+'4_priedo_2'!U96</f>
        <v>318</v>
      </c>
      <c r="H74" s="201"/>
      <c r="I74" s="213"/>
      <c r="J74" s="203"/>
      <c r="K74" s="203"/>
      <c r="L74" s="203"/>
      <c r="M74" s="203"/>
      <c r="N74" s="54"/>
      <c r="O74" s="93"/>
      <c r="P74" s="93"/>
      <c r="Q74" s="93"/>
      <c r="R74" s="93"/>
      <c r="S74" s="93"/>
      <c r="T74" s="93"/>
      <c r="U74" s="93"/>
      <c r="V74" s="93"/>
    </row>
    <row r="75" spans="2:23" ht="90.75" customHeight="1" x14ac:dyDescent="0.25">
      <c r="B75" s="11"/>
      <c r="C75" s="211"/>
      <c r="D75" s="32" t="s">
        <v>739</v>
      </c>
      <c r="E75" s="32" t="s">
        <v>740</v>
      </c>
      <c r="F75" s="206">
        <f>'4_priedo_2'!AH87+'4_priedo_2'!X88+'4_priedo_2'!AC90+'4_priedo_2'!AC91+'4_priedo_2'!S92+'4_priedo_2'!AC94+'4_priedo_2'!S95+'4_priedo_2'!X96</f>
        <v>2797</v>
      </c>
      <c r="G75" s="206">
        <f>'4_priedo_2'!AJ87+'4_priedo_2'!Z88+'4_priedo_2'!AE90+'4_priedo_2'!AE91+'4_priedo_2'!U92+'4_priedo_2'!AE94+'4_priedo_2'!U95+'4_priedo_2'!Z96</f>
        <v>1488</v>
      </c>
      <c r="H75" s="201"/>
      <c r="I75" s="213"/>
      <c r="J75" s="203"/>
      <c r="K75" s="203"/>
      <c r="L75" s="203"/>
      <c r="M75" s="203"/>
      <c r="N75" s="54"/>
      <c r="O75" s="93"/>
      <c r="P75" s="93"/>
      <c r="Q75" s="93"/>
      <c r="R75" s="93"/>
      <c r="S75" s="93"/>
      <c r="T75" s="93"/>
      <c r="U75" s="93"/>
      <c r="V75" s="93"/>
    </row>
    <row r="76" spans="2:23" ht="90.75" customHeight="1" x14ac:dyDescent="0.25">
      <c r="B76" s="11"/>
      <c r="C76" s="211"/>
      <c r="D76" s="32" t="s">
        <v>741</v>
      </c>
      <c r="E76" s="32" t="s">
        <v>742</v>
      </c>
      <c r="F76" s="206">
        <f>'4_priedo_2'!AM87+'4_priedo_2'!AC88+'4_priedo_2'!AH90+'4_priedo_2'!AH91+'4_priedo_2'!X92+'4_priedo_2'!AH94+'4_priedo_2'!X95+'4_priedo_2'!AC96+'4_priedo_2'!X97</f>
        <v>2485</v>
      </c>
      <c r="G76" s="206">
        <f>'4_priedo_2'!AO87+'4_priedo_2'!AE88+'4_priedo_2'!AJ90+'4_priedo_2'!AJ91+'4_priedo_2'!Z92+'4_priedo_2'!AJ94+'4_priedo_2'!Z95+'4_priedo_2'!AE96+'4_priedo_2'!Z97</f>
        <v>572</v>
      </c>
      <c r="H76" s="201"/>
      <c r="I76" s="213"/>
      <c r="J76" s="203"/>
      <c r="K76" s="203"/>
      <c r="L76" s="203"/>
      <c r="M76" s="203"/>
      <c r="N76" s="54"/>
      <c r="O76" s="93"/>
      <c r="P76" s="93"/>
      <c r="Q76" s="93"/>
      <c r="R76" s="93"/>
      <c r="S76" s="93"/>
      <c r="T76" s="93"/>
      <c r="U76" s="93"/>
      <c r="V76" s="93"/>
    </row>
    <row r="77" spans="2:23" ht="65.25" customHeight="1" x14ac:dyDescent="0.25">
      <c r="B77" s="58" t="s">
        <v>352</v>
      </c>
      <c r="C77" s="58" t="s">
        <v>353</v>
      </c>
      <c r="D77" s="200"/>
      <c r="E77" s="200"/>
      <c r="F77" s="201"/>
      <c r="G77" s="201"/>
      <c r="H77" s="208">
        <f>'4_priedo_1'!H98</f>
        <v>2053631.87</v>
      </c>
      <c r="I77" s="210">
        <f>'4_priedo_1'!I98</f>
        <v>1745587.0899999999</v>
      </c>
      <c r="J77" s="210">
        <f>'4_priedo_1'!K98</f>
        <v>308044.78000000003</v>
      </c>
      <c r="K77" s="210">
        <f>'4_priedo_1'!P98</f>
        <v>1421284.2399999998</v>
      </c>
      <c r="L77" s="210">
        <f>'4_priedo_1'!Q98</f>
        <v>1208091.6099999999</v>
      </c>
      <c r="M77" s="210">
        <f>'4_priedo_1'!S98</f>
        <v>213192.62999999992</v>
      </c>
      <c r="N77" s="54"/>
      <c r="O77" s="93"/>
      <c r="P77" s="93"/>
      <c r="Q77" s="93"/>
      <c r="R77" s="93"/>
      <c r="S77" s="93"/>
      <c r="T77" s="93"/>
      <c r="U77" s="93"/>
      <c r="V77" s="93"/>
    </row>
    <row r="78" spans="2:23" ht="169.5" customHeight="1" x14ac:dyDescent="0.25">
      <c r="B78" s="11"/>
      <c r="C78" s="211"/>
      <c r="D78" s="58" t="s">
        <v>718</v>
      </c>
      <c r="E78" s="58" t="s">
        <v>743</v>
      </c>
      <c r="F78" s="206">
        <f>'4_priedo_2'!I99+'4_priedo_2'!I100</f>
        <v>124.5</v>
      </c>
      <c r="G78" s="206">
        <f>'4_priedo_2'!K99+'4_priedo_2'!K100</f>
        <v>132.02000000000001</v>
      </c>
      <c r="H78" s="201"/>
      <c r="I78" s="213"/>
      <c r="J78" s="203"/>
      <c r="K78" s="203"/>
      <c r="L78" s="203"/>
      <c r="M78" s="203"/>
      <c r="N78" s="54"/>
      <c r="O78" s="93"/>
      <c r="P78" s="93"/>
      <c r="Q78" s="93"/>
      <c r="R78" s="93"/>
      <c r="S78" s="93"/>
      <c r="T78" s="93"/>
      <c r="U78" s="93"/>
      <c r="V78" s="93"/>
    </row>
    <row r="79" spans="2:23" ht="92.25" customHeight="1" x14ac:dyDescent="0.25">
      <c r="B79" s="11"/>
      <c r="C79" s="211"/>
      <c r="D79" s="58" t="s">
        <v>695</v>
      </c>
      <c r="E79" s="58" t="s">
        <v>744</v>
      </c>
      <c r="F79" s="206">
        <f>'4_priedo_2'!N99</f>
        <v>20.25</v>
      </c>
      <c r="G79" s="206">
        <f>'4_priedo_2'!P99</f>
        <v>0</v>
      </c>
      <c r="H79" s="201"/>
      <c r="I79" s="213"/>
      <c r="J79" s="203"/>
      <c r="K79" s="203"/>
      <c r="L79" s="203"/>
      <c r="M79" s="203"/>
      <c r="N79" s="54"/>
      <c r="O79" s="93"/>
      <c r="P79" s="93"/>
      <c r="Q79" s="93"/>
      <c r="R79" s="93"/>
      <c r="S79" s="93"/>
      <c r="T79" s="93"/>
      <c r="U79" s="93"/>
      <c r="V79" s="93"/>
    </row>
    <row r="80" spans="2:23" ht="104.25" customHeight="1" x14ac:dyDescent="0.25">
      <c r="B80" s="62" t="s">
        <v>364</v>
      </c>
      <c r="C80" s="62" t="s">
        <v>365</v>
      </c>
      <c r="D80" s="200"/>
      <c r="E80" s="200"/>
      <c r="F80" s="201"/>
      <c r="G80" s="201"/>
      <c r="H80" s="208">
        <f>'4_priedo_1'!H101</f>
        <v>3251580.6900000004</v>
      </c>
      <c r="I80" s="210">
        <f>'4_priedo_1'!I101</f>
        <v>2741982.62</v>
      </c>
      <c r="J80" s="210">
        <f>'4_priedo_1'!K101</f>
        <v>509598.06999999983</v>
      </c>
      <c r="K80" s="210">
        <f>'4_priedo_1'!P101</f>
        <v>2905938.77</v>
      </c>
      <c r="L80" s="210">
        <f>'4_priedo_1'!Q101</f>
        <v>2482666.63</v>
      </c>
      <c r="M80" s="210">
        <f>'4_priedo_1'!S101</f>
        <v>423272.1399999999</v>
      </c>
      <c r="N80" s="54"/>
      <c r="O80" s="93"/>
      <c r="P80" s="93"/>
      <c r="Q80" s="93"/>
      <c r="R80" s="93"/>
      <c r="S80" s="93"/>
      <c r="T80" s="93"/>
      <c r="U80" s="93"/>
      <c r="V80" s="93"/>
    </row>
    <row r="81" spans="2:23" ht="91.5" customHeight="1" x14ac:dyDescent="0.25">
      <c r="B81" s="11"/>
      <c r="C81" s="211"/>
      <c r="D81" s="58" t="s">
        <v>719</v>
      </c>
      <c r="E81" s="58" t="s">
        <v>745</v>
      </c>
      <c r="F81" s="206">
        <f>SUM('4_priedo_2'!I102:'4_priedo_2'!I107)</f>
        <v>8973.5</v>
      </c>
      <c r="G81" s="206">
        <f>SUM('4_priedo_2'!K102:'4_priedo_2'!K107)</f>
        <v>4850.8999999999996</v>
      </c>
      <c r="H81" s="201"/>
      <c r="I81" s="213"/>
      <c r="J81" s="203"/>
      <c r="K81" s="203"/>
      <c r="L81" s="203"/>
      <c r="M81" s="203"/>
      <c r="N81" s="54"/>
      <c r="O81" s="93"/>
      <c r="P81" s="308"/>
      <c r="Q81" s="308"/>
      <c r="R81" s="308"/>
      <c r="S81" s="308"/>
      <c r="T81" s="93"/>
      <c r="U81" s="93"/>
      <c r="V81" s="93"/>
    </row>
    <row r="82" spans="2:23" ht="47.25" customHeight="1" x14ac:dyDescent="0.25">
      <c r="B82" s="58" t="s">
        <v>391</v>
      </c>
      <c r="C82" s="58" t="s">
        <v>392</v>
      </c>
      <c r="D82" s="200"/>
      <c r="E82" s="200"/>
      <c r="F82" s="201"/>
      <c r="G82" s="201"/>
      <c r="H82" s="208">
        <f>'4_priedo_1'!H108</f>
        <v>3765702.2700000005</v>
      </c>
      <c r="I82" s="224">
        <f>'4_priedo_1'!I108</f>
        <v>2977110.9800000004</v>
      </c>
      <c r="J82" s="225">
        <f>'4_priedo_1'!K108</f>
        <v>788591.29</v>
      </c>
      <c r="K82" s="210">
        <f>'4_priedo_1'!P108</f>
        <v>1344568</v>
      </c>
      <c r="L82" s="210">
        <f>'4_priedo_1'!Q108</f>
        <v>1170481.45</v>
      </c>
      <c r="M82" s="210">
        <f>'4_priedo_1'!S108</f>
        <v>174086.55</v>
      </c>
      <c r="N82" s="54"/>
      <c r="O82" s="93"/>
      <c r="P82" s="93"/>
      <c r="Q82" s="93"/>
      <c r="R82" s="93"/>
      <c r="S82" s="93"/>
      <c r="T82" s="93"/>
      <c r="U82" s="93"/>
      <c r="V82" s="93"/>
    </row>
    <row r="83" spans="2:23" ht="91.5" customHeight="1" x14ac:dyDescent="0.25">
      <c r="B83" s="219"/>
      <c r="C83" s="219"/>
      <c r="D83" s="58" t="s">
        <v>725</v>
      </c>
      <c r="E83" s="58" t="s">
        <v>748</v>
      </c>
      <c r="F83" s="208">
        <f>'4_priedo_2'!N110+'4_priedo_2'!N111+'4_priedo_2'!N112+'4_priedo_2'!N113+'4_priedo_2'!I114+'4_priedo_2'!N115+'4_priedo_2'!N116+'4_priedo_2'!S117+'4_priedo_2'!S118+'4_priedo_2'!N119+'4_priedo_2'!N120</f>
        <v>94.777999999999992</v>
      </c>
      <c r="G83" s="208">
        <f>'4_priedo_2'!P110+'4_priedo_2'!P111+'4_priedo_2'!P112+'4_priedo_2'!P113+'4_priedo_2'!K114+'4_priedo_2'!P115+'4_priedo_2'!P116+'4_priedo_2'!U117+'4_priedo_2'!U118+'4_priedo_2'!P119+'4_priedo_2'!P120</f>
        <v>26.68</v>
      </c>
      <c r="H83" s="201"/>
      <c r="I83" s="213"/>
      <c r="J83" s="203"/>
      <c r="K83" s="203"/>
      <c r="L83" s="203"/>
      <c r="M83" s="203"/>
      <c r="N83" s="54"/>
      <c r="O83" s="93"/>
      <c r="P83" s="93"/>
      <c r="Q83" s="93"/>
      <c r="R83" s="93"/>
      <c r="S83" s="93"/>
      <c r="T83" s="93"/>
      <c r="U83" s="93"/>
      <c r="V83" s="93"/>
    </row>
    <row r="84" spans="2:23" ht="160.5" customHeight="1" x14ac:dyDescent="0.25">
      <c r="B84" s="11"/>
      <c r="C84" s="211"/>
      <c r="D84" s="58" t="s">
        <v>700</v>
      </c>
      <c r="E84" s="58" t="s">
        <v>746</v>
      </c>
      <c r="F84" s="206">
        <f>'4_priedo_2'!I109+'4_priedo_2'!N117+'4_priedo_2'!I118</f>
        <v>5</v>
      </c>
      <c r="G84" s="206">
        <f>'4_priedo_2'!K109+'4_priedo_2'!P117+'4_priedo_2'!K118</f>
        <v>0</v>
      </c>
      <c r="H84" s="201"/>
      <c r="I84" s="213"/>
      <c r="J84" s="203"/>
      <c r="K84" s="203"/>
      <c r="L84" s="203"/>
      <c r="M84" s="203"/>
      <c r="N84" s="54"/>
      <c r="O84" s="93"/>
      <c r="P84" s="93"/>
      <c r="Q84" s="93"/>
      <c r="R84" s="93"/>
      <c r="S84" s="93"/>
      <c r="T84" s="93"/>
      <c r="U84" s="93"/>
      <c r="V84" s="93"/>
    </row>
    <row r="85" spans="2:23" ht="95.25" customHeight="1" x14ac:dyDescent="0.25">
      <c r="B85" s="11"/>
      <c r="C85" s="211"/>
      <c r="D85" s="58" t="s">
        <v>701</v>
      </c>
      <c r="E85" s="58" t="s">
        <v>747</v>
      </c>
      <c r="F85" s="206">
        <f>'4_priedo_2'!I110+'4_priedo_2'!I113+'4_priedo_2'!N114+'4_priedo_2'!I116+'4_priedo_2'!I117+'4_priedo_2'!I119+'4_priedo_2'!I120+'4_priedo_2'!AC118</f>
        <v>180</v>
      </c>
      <c r="G85" s="206">
        <f>'4_priedo_2'!K110+'4_priedo_2'!K113+'4_priedo_2'!P114+'4_priedo_2'!K116+'4_priedo_2'!K117+'4_priedo_2'!AE118+'4_priedo_2'!K119+'4_priedo_2'!K120</f>
        <v>167</v>
      </c>
      <c r="H85" s="201"/>
      <c r="I85" s="213"/>
      <c r="J85" s="203"/>
      <c r="K85" s="203"/>
      <c r="L85" s="203"/>
      <c r="M85" s="203"/>
      <c r="N85" s="54"/>
      <c r="O85" s="93"/>
      <c r="P85" s="93"/>
      <c r="Q85" s="93"/>
      <c r="R85" s="93"/>
      <c r="S85" s="93"/>
      <c r="T85" s="93"/>
      <c r="U85" s="93"/>
      <c r="V85" s="93"/>
    </row>
    <row r="86" spans="2:23" ht="67.5" customHeight="1" x14ac:dyDescent="0.25">
      <c r="B86" s="11"/>
      <c r="C86" s="211"/>
      <c r="D86" s="56" t="s">
        <v>728</v>
      </c>
      <c r="E86" s="56" t="s">
        <v>750</v>
      </c>
      <c r="F86" s="206">
        <f>'4_priedo_2'!X118</f>
        <v>2</v>
      </c>
      <c r="G86" s="206">
        <f>'4_priedo_2'!Z118</f>
        <v>0</v>
      </c>
      <c r="H86" s="201"/>
      <c r="I86" s="213"/>
      <c r="J86" s="203"/>
      <c r="K86" s="203"/>
      <c r="L86" s="203"/>
      <c r="M86" s="203"/>
      <c r="N86" s="54"/>
      <c r="O86" s="93"/>
      <c r="P86" s="93"/>
      <c r="Q86" s="93"/>
      <c r="R86" s="93"/>
      <c r="S86" s="93"/>
      <c r="T86" s="93"/>
      <c r="U86" s="93"/>
      <c r="V86" s="93"/>
    </row>
    <row r="87" spans="2:23" ht="121.5" customHeight="1" x14ac:dyDescent="0.25">
      <c r="B87" s="11"/>
      <c r="C87" s="211"/>
      <c r="D87" s="58" t="s">
        <v>722</v>
      </c>
      <c r="E87" s="58" t="s">
        <v>749</v>
      </c>
      <c r="F87" s="206">
        <f>'4_priedo_2'!N118</f>
        <v>1</v>
      </c>
      <c r="G87" s="206">
        <f>'4_priedo_2'!P118</f>
        <v>0</v>
      </c>
      <c r="H87" s="201"/>
      <c r="I87" s="213"/>
      <c r="J87" s="203"/>
      <c r="K87" s="203"/>
      <c r="L87" s="203"/>
      <c r="M87" s="203"/>
      <c r="N87" s="54"/>
      <c r="O87" s="93"/>
      <c r="P87" s="93"/>
      <c r="Q87" s="93"/>
      <c r="R87" s="93"/>
      <c r="S87" s="93"/>
      <c r="T87" s="93"/>
      <c r="U87" s="93"/>
      <c r="V87" s="93"/>
    </row>
    <row r="88" spans="2:23" ht="78.75" customHeight="1" x14ac:dyDescent="0.25">
      <c r="B88" s="56" t="s">
        <v>427</v>
      </c>
      <c r="C88" s="56" t="s">
        <v>428</v>
      </c>
      <c r="D88" s="200"/>
      <c r="E88" s="200"/>
      <c r="F88" s="201"/>
      <c r="G88" s="201"/>
      <c r="H88" s="201"/>
      <c r="I88" s="213"/>
      <c r="J88" s="203"/>
      <c r="K88" s="203"/>
      <c r="L88" s="203"/>
      <c r="M88" s="203"/>
      <c r="N88" s="54"/>
      <c r="O88" s="93"/>
      <c r="P88" s="93"/>
      <c r="Q88" s="93"/>
      <c r="R88" s="93"/>
      <c r="S88" s="93"/>
      <c r="T88" s="93"/>
      <c r="U88" s="93"/>
      <c r="V88" s="93"/>
    </row>
    <row r="89" spans="2:23" ht="67.5" customHeight="1" x14ac:dyDescent="0.25">
      <c r="B89" s="11"/>
      <c r="C89" s="211"/>
      <c r="D89" s="215"/>
      <c r="E89" s="215" t="s">
        <v>1070</v>
      </c>
      <c r="F89" s="206">
        <v>100</v>
      </c>
      <c r="G89" s="206">
        <v>139</v>
      </c>
      <c r="H89" s="201"/>
      <c r="I89" s="213"/>
      <c r="J89" s="203"/>
      <c r="K89" s="203"/>
      <c r="L89" s="203"/>
      <c r="M89" s="203"/>
      <c r="N89" s="54"/>
      <c r="O89" s="93"/>
      <c r="P89" s="308"/>
      <c r="Q89" s="306" t="s">
        <v>1245</v>
      </c>
      <c r="R89" s="306" t="s">
        <v>1246</v>
      </c>
      <c r="S89" s="307">
        <f>11.7/8.4</f>
        <v>1.3928571428571428</v>
      </c>
      <c r="T89" s="307"/>
      <c r="U89" s="306" t="s">
        <v>1247</v>
      </c>
      <c r="V89" s="306" t="s">
        <v>1248</v>
      </c>
      <c r="W89" s="45">
        <f>12.5/7.8</f>
        <v>1.6025641025641026</v>
      </c>
    </row>
    <row r="90" spans="2:23" ht="108.75" customHeight="1" x14ac:dyDescent="0.25">
      <c r="B90" s="58" t="s">
        <v>429</v>
      </c>
      <c r="C90" s="58" t="s">
        <v>430</v>
      </c>
      <c r="D90" s="200"/>
      <c r="E90" s="200"/>
      <c r="F90" s="201"/>
      <c r="G90" s="201"/>
      <c r="H90" s="208"/>
      <c r="I90" s="212"/>
      <c r="J90" s="210"/>
      <c r="K90" s="210"/>
      <c r="L90" s="210"/>
      <c r="M90" s="210"/>
      <c r="N90" s="54"/>
      <c r="O90" s="93"/>
      <c r="P90" s="93"/>
      <c r="Q90" s="93"/>
      <c r="R90" s="93"/>
      <c r="S90" s="93"/>
      <c r="T90" s="93"/>
      <c r="U90" s="93"/>
      <c r="V90" s="93"/>
    </row>
    <row r="91" spans="2:23" ht="78.75" customHeight="1" x14ac:dyDescent="0.25">
      <c r="B91" s="11"/>
      <c r="C91" s="211"/>
      <c r="D91" s="215"/>
      <c r="E91" s="215" t="s">
        <v>1249</v>
      </c>
      <c r="F91" s="206">
        <v>346229</v>
      </c>
      <c r="G91" s="206">
        <v>371400</v>
      </c>
      <c r="H91" s="201"/>
      <c r="I91" s="213"/>
      <c r="J91" s="203"/>
      <c r="K91" s="203"/>
      <c r="L91" s="203"/>
      <c r="M91" s="203"/>
      <c r="N91" s="54"/>
      <c r="O91" s="93"/>
      <c r="P91" s="93"/>
      <c r="Q91" s="93"/>
      <c r="R91" s="93"/>
      <c r="U91" s="93"/>
      <c r="V91" s="93"/>
    </row>
    <row r="92" spans="2:23" ht="106.5" customHeight="1" x14ac:dyDescent="0.25">
      <c r="B92" s="58" t="s">
        <v>431</v>
      </c>
      <c r="C92" s="58" t="s">
        <v>1071</v>
      </c>
      <c r="D92" s="200"/>
      <c r="E92" s="200"/>
      <c r="F92" s="201"/>
      <c r="G92" s="201"/>
      <c r="H92" s="208">
        <f>'4_priedo_1'!H123</f>
        <v>2044376</v>
      </c>
      <c r="I92" s="210">
        <f>'4_priedo_1'!I123</f>
        <v>1737720</v>
      </c>
      <c r="J92" s="210">
        <f>'4_priedo_1'!K123</f>
        <v>306656</v>
      </c>
      <c r="K92" s="210">
        <f>'4_priedo_1'!P123</f>
        <v>0</v>
      </c>
      <c r="L92" s="210">
        <f>'4_priedo_1'!R123</f>
        <v>0</v>
      </c>
      <c r="M92" s="210">
        <f>'4_priedo_1'!S123</f>
        <v>0</v>
      </c>
      <c r="N92" s="54"/>
      <c r="O92" s="93"/>
      <c r="P92" s="93"/>
      <c r="Q92" s="93"/>
      <c r="R92" s="93"/>
      <c r="U92" s="93"/>
      <c r="V92" s="93"/>
    </row>
    <row r="93" spans="2:23" ht="63.75" customHeight="1" x14ac:dyDescent="0.25">
      <c r="B93" s="11"/>
      <c r="C93" s="211"/>
      <c r="D93" s="29" t="s">
        <v>729</v>
      </c>
      <c r="E93" s="29" t="s">
        <v>751</v>
      </c>
      <c r="F93" s="206">
        <f>'4_priedo_2'!I124</f>
        <v>9</v>
      </c>
      <c r="G93" s="206">
        <f>'4_priedo_2'!K124</f>
        <v>0</v>
      </c>
      <c r="H93" s="201"/>
      <c r="I93" s="213"/>
      <c r="J93" s="203"/>
      <c r="K93" s="203"/>
      <c r="L93" s="203"/>
      <c r="M93" s="203"/>
      <c r="N93" s="54"/>
      <c r="O93" s="93"/>
      <c r="P93" s="93"/>
      <c r="Q93" s="93"/>
      <c r="R93" s="93"/>
      <c r="U93" s="93"/>
      <c r="V93" s="93"/>
    </row>
    <row r="94" spans="2:23" ht="62.25" customHeight="1" x14ac:dyDescent="0.25">
      <c r="B94" s="215" t="s">
        <v>436</v>
      </c>
      <c r="C94" s="215" t="s">
        <v>437</v>
      </c>
      <c r="D94" s="200"/>
      <c r="E94" s="200"/>
      <c r="F94" s="201"/>
      <c r="G94" s="201"/>
      <c r="H94" s="201"/>
      <c r="I94" s="213"/>
      <c r="J94" s="203"/>
      <c r="K94" s="203"/>
      <c r="L94" s="203"/>
      <c r="M94" s="203"/>
      <c r="N94" s="54"/>
      <c r="O94" s="93"/>
      <c r="P94" s="93"/>
      <c r="Q94" s="93"/>
      <c r="R94" s="93"/>
      <c r="U94" s="93"/>
      <c r="V94" s="93"/>
    </row>
    <row r="95" spans="2:23" ht="58.5" customHeight="1" x14ac:dyDescent="0.25">
      <c r="B95" s="11"/>
      <c r="C95" s="211"/>
      <c r="D95" s="215"/>
      <c r="E95" s="215" t="s">
        <v>1250</v>
      </c>
      <c r="F95" s="206">
        <v>33</v>
      </c>
      <c r="G95" s="206">
        <v>7.99</v>
      </c>
      <c r="H95" s="201"/>
      <c r="I95" s="213"/>
      <c r="J95" s="203"/>
      <c r="K95" s="203"/>
      <c r="L95" s="203"/>
      <c r="M95" s="203"/>
      <c r="N95" s="54"/>
      <c r="O95" s="93"/>
      <c r="P95" s="93"/>
      <c r="Q95" s="306" t="s">
        <v>1251</v>
      </c>
      <c r="R95" s="101"/>
      <c r="S95" s="306" t="s">
        <v>1252</v>
      </c>
      <c r="T95" s="308"/>
      <c r="U95" s="93"/>
      <c r="V95" s="93"/>
    </row>
    <row r="96" spans="2:23" ht="69" customHeight="1" x14ac:dyDescent="0.25">
      <c r="B96" s="215" t="s">
        <v>438</v>
      </c>
      <c r="C96" s="215" t="s">
        <v>439</v>
      </c>
      <c r="D96" s="200"/>
      <c r="E96" s="200"/>
      <c r="F96" s="201"/>
      <c r="G96" s="201"/>
      <c r="H96" s="208"/>
      <c r="I96" s="212"/>
      <c r="J96" s="210"/>
      <c r="K96" s="210"/>
      <c r="L96" s="210"/>
      <c r="M96" s="210"/>
      <c r="N96" s="54"/>
      <c r="O96" s="93"/>
      <c r="P96" s="93"/>
      <c r="Q96" s="93"/>
      <c r="R96" s="93"/>
      <c r="S96" s="93"/>
      <c r="T96" s="93"/>
      <c r="U96" s="93"/>
      <c r="V96" s="93"/>
    </row>
    <row r="97" spans="2:22" ht="30.75" customHeight="1" x14ac:dyDescent="0.25">
      <c r="B97" s="11"/>
      <c r="C97" s="211"/>
      <c r="D97" s="215"/>
      <c r="E97" s="215"/>
      <c r="F97" s="206"/>
      <c r="G97" s="206"/>
      <c r="H97" s="201"/>
      <c r="I97" s="213"/>
      <c r="J97" s="203"/>
      <c r="K97" s="203"/>
      <c r="L97" s="203"/>
      <c r="M97" s="203"/>
      <c r="N97" s="54"/>
      <c r="O97" s="93"/>
      <c r="P97" s="93"/>
      <c r="Q97" s="93"/>
      <c r="R97" s="93"/>
      <c r="S97" s="93"/>
      <c r="T97" s="93"/>
      <c r="U97" s="93"/>
      <c r="V97" s="93"/>
    </row>
    <row r="98" spans="2:22" ht="109.5" customHeight="1" x14ac:dyDescent="0.25">
      <c r="B98" s="215" t="s">
        <v>440</v>
      </c>
      <c r="C98" s="215" t="s">
        <v>441</v>
      </c>
      <c r="D98" s="200"/>
      <c r="E98" s="200"/>
      <c r="F98" s="201"/>
      <c r="G98" s="201"/>
      <c r="H98" s="201"/>
      <c r="I98" s="213"/>
      <c r="J98" s="203"/>
      <c r="K98" s="203"/>
      <c r="L98" s="203"/>
      <c r="M98" s="203"/>
      <c r="N98" s="54"/>
      <c r="O98" s="93"/>
      <c r="P98" s="93"/>
      <c r="Q98" s="93"/>
      <c r="R98" s="93"/>
      <c r="S98" s="93"/>
      <c r="T98" s="93"/>
      <c r="U98" s="93"/>
      <c r="V98" s="93"/>
    </row>
    <row r="99" spans="2:22" ht="93" customHeight="1" x14ac:dyDescent="0.25">
      <c r="B99" s="11"/>
      <c r="C99" s="211"/>
      <c r="D99" s="215"/>
      <c r="E99" s="215" t="s">
        <v>1253</v>
      </c>
      <c r="F99" s="206">
        <v>1000</v>
      </c>
      <c r="G99" s="206">
        <v>1423</v>
      </c>
      <c r="H99" s="201"/>
      <c r="I99" s="213"/>
      <c r="J99" s="203"/>
      <c r="K99" s="203"/>
      <c r="L99" s="203"/>
      <c r="M99" s="203"/>
      <c r="N99" s="54"/>
      <c r="O99" s="93"/>
      <c r="P99" s="93"/>
      <c r="Q99" s="93"/>
      <c r="R99" s="93"/>
      <c r="S99" s="93"/>
      <c r="T99" s="93"/>
      <c r="U99" s="93"/>
      <c r="V99" s="93" t="s">
        <v>220</v>
      </c>
    </row>
    <row r="100" spans="2:22" ht="80.25" customHeight="1" x14ac:dyDescent="0.25">
      <c r="B100" s="215" t="s">
        <v>442</v>
      </c>
      <c r="C100" s="215" t="s">
        <v>443</v>
      </c>
      <c r="D100" s="200"/>
      <c r="E100" s="200"/>
      <c r="F100" s="201"/>
      <c r="G100" s="201"/>
      <c r="H100" s="208">
        <f>'4_priedo_1'!H128</f>
        <v>7000000</v>
      </c>
      <c r="I100" s="208">
        <f>'4_priedo_1'!I128</f>
        <v>0</v>
      </c>
      <c r="J100" s="208">
        <f>'4_priedo_1'!K128</f>
        <v>7000000</v>
      </c>
      <c r="K100" s="210">
        <f>'4_priedo_1'!P128</f>
        <v>0</v>
      </c>
      <c r="L100" s="210">
        <f>'4_priedo_1'!Q128</f>
        <v>0</v>
      </c>
      <c r="M100" s="210">
        <f>'4_priedo_1'!S128</f>
        <v>0</v>
      </c>
      <c r="N100" s="54"/>
      <c r="O100" s="93"/>
      <c r="P100" s="93"/>
      <c r="Q100" s="93"/>
      <c r="R100" s="93"/>
      <c r="S100" s="93"/>
      <c r="T100" s="93"/>
      <c r="U100" s="93"/>
      <c r="V100" s="93"/>
    </row>
    <row r="101" spans="2:22" ht="30.75" customHeight="1" x14ac:dyDescent="0.25">
      <c r="B101" s="11"/>
      <c r="C101" s="211"/>
      <c r="D101" s="32" t="s">
        <v>752</v>
      </c>
      <c r="E101" s="32" t="s">
        <v>753</v>
      </c>
      <c r="F101" s="39">
        <f>'4_priedo_2'!I129</f>
        <v>200</v>
      </c>
      <c r="G101" s="206">
        <f>'4_priedo_2'!K129</f>
        <v>0</v>
      </c>
      <c r="H101" s="201"/>
      <c r="I101" s="213"/>
      <c r="J101" s="203"/>
      <c r="K101" s="203"/>
      <c r="L101" s="203"/>
      <c r="M101" s="203"/>
      <c r="N101" s="54"/>
      <c r="O101" s="93"/>
      <c r="P101" s="93"/>
      <c r="Q101" s="93"/>
      <c r="R101" s="93"/>
      <c r="S101" s="93"/>
      <c r="T101" s="93"/>
      <c r="U101" s="93"/>
      <c r="V101" s="93"/>
    </row>
    <row r="102" spans="2:22" ht="53.25" customHeight="1" x14ac:dyDescent="0.25">
      <c r="B102" s="215" t="s">
        <v>450</v>
      </c>
      <c r="C102" s="215" t="s">
        <v>451</v>
      </c>
      <c r="D102" s="200"/>
      <c r="E102" s="200"/>
      <c r="F102" s="201"/>
      <c r="G102" s="201"/>
      <c r="H102" s="201"/>
      <c r="I102" s="213"/>
      <c r="J102" s="203"/>
      <c r="K102" s="203"/>
      <c r="L102" s="203"/>
      <c r="M102" s="203"/>
      <c r="N102" s="54"/>
      <c r="O102" s="93"/>
      <c r="P102" s="93"/>
      <c r="Q102" s="93"/>
      <c r="R102" s="93"/>
      <c r="S102" s="93"/>
      <c r="T102" s="93"/>
      <c r="U102" s="93"/>
      <c r="V102" s="93"/>
    </row>
    <row r="103" spans="2:22" ht="106.5" customHeight="1" x14ac:dyDescent="0.25">
      <c r="B103" s="215" t="s">
        <v>452</v>
      </c>
      <c r="C103" s="215" t="s">
        <v>453</v>
      </c>
      <c r="D103" s="200"/>
      <c r="E103" s="200"/>
      <c r="F103" s="201"/>
      <c r="G103" s="201"/>
      <c r="H103" s="201"/>
      <c r="I103" s="213"/>
      <c r="J103" s="203"/>
      <c r="K103" s="203"/>
      <c r="L103" s="203"/>
      <c r="M103" s="203"/>
      <c r="N103" s="54"/>
      <c r="O103" s="93"/>
      <c r="P103" s="93"/>
      <c r="Q103" s="93"/>
      <c r="R103" s="93"/>
      <c r="S103" s="93"/>
      <c r="T103" s="93"/>
      <c r="U103" s="93"/>
      <c r="V103" s="93"/>
    </row>
    <row r="104" spans="2:22" ht="93" customHeight="1" x14ac:dyDescent="0.25">
      <c r="B104" s="11"/>
      <c r="C104" s="211"/>
      <c r="D104" s="215"/>
      <c r="E104" s="32" t="s">
        <v>1072</v>
      </c>
      <c r="F104" s="206">
        <v>71</v>
      </c>
      <c r="G104" s="206">
        <v>77.599999999999994</v>
      </c>
      <c r="H104" s="201"/>
      <c r="I104" s="213"/>
      <c r="J104" s="203"/>
      <c r="K104" s="203"/>
      <c r="L104" s="203"/>
      <c r="M104" s="203"/>
      <c r="N104" s="54"/>
      <c r="O104" s="93"/>
      <c r="P104" s="93"/>
      <c r="Q104" s="93"/>
      <c r="R104" s="93"/>
      <c r="S104" s="93"/>
      <c r="T104" s="93"/>
      <c r="U104" s="93"/>
      <c r="V104" s="93"/>
    </row>
    <row r="105" spans="2:22" ht="143.25" customHeight="1" x14ac:dyDescent="0.25">
      <c r="B105" s="215" t="s">
        <v>454</v>
      </c>
      <c r="C105" s="215" t="s">
        <v>455</v>
      </c>
      <c r="D105" s="200"/>
      <c r="E105" s="200"/>
      <c r="F105" s="201"/>
      <c r="G105" s="201"/>
      <c r="H105" s="201"/>
      <c r="I105" s="213"/>
      <c r="J105" s="203"/>
      <c r="K105" s="203"/>
      <c r="L105" s="203"/>
      <c r="M105" s="203"/>
      <c r="N105" s="54"/>
      <c r="O105" s="93"/>
      <c r="P105" s="93"/>
      <c r="Q105" s="93"/>
      <c r="R105" s="93"/>
      <c r="S105" s="93"/>
      <c r="T105" s="93"/>
      <c r="U105" s="93"/>
      <c r="V105" s="93"/>
    </row>
    <row r="106" spans="2:22" ht="172.5" customHeight="1" x14ac:dyDescent="0.25">
      <c r="B106" s="11"/>
      <c r="C106" s="211"/>
      <c r="D106" s="215"/>
      <c r="E106" s="215" t="s">
        <v>1073</v>
      </c>
      <c r="F106" s="206">
        <v>54</v>
      </c>
      <c r="G106" s="206">
        <v>0</v>
      </c>
      <c r="H106" s="201"/>
      <c r="I106" s="213"/>
      <c r="J106" s="203"/>
      <c r="K106" s="203"/>
      <c r="L106" s="203"/>
      <c r="M106" s="203"/>
      <c r="N106" s="54"/>
      <c r="O106" s="93"/>
      <c r="P106" s="93"/>
      <c r="Q106" s="93"/>
      <c r="R106" s="93"/>
      <c r="S106" s="93"/>
      <c r="T106" s="93"/>
      <c r="U106" s="93"/>
      <c r="V106" s="93"/>
    </row>
    <row r="107" spans="2:22" ht="172.5" customHeight="1" x14ac:dyDescent="0.25">
      <c r="B107" s="11"/>
      <c r="C107" s="211"/>
      <c r="D107" s="215"/>
      <c r="E107" s="215" t="s">
        <v>1074</v>
      </c>
      <c r="F107" s="206">
        <v>54</v>
      </c>
      <c r="G107" s="206">
        <v>0</v>
      </c>
      <c r="H107" s="201"/>
      <c r="I107" s="213"/>
      <c r="J107" s="203"/>
      <c r="K107" s="203"/>
      <c r="L107" s="203"/>
      <c r="M107" s="203"/>
      <c r="N107" s="54"/>
      <c r="O107" s="93"/>
      <c r="P107" s="93"/>
      <c r="Q107" s="93"/>
      <c r="R107" s="93"/>
      <c r="S107" s="93"/>
      <c r="T107" s="93"/>
      <c r="U107" s="93"/>
      <c r="V107" s="93"/>
    </row>
    <row r="108" spans="2:22" ht="158.25" customHeight="1" x14ac:dyDescent="0.25">
      <c r="B108" s="39" t="s">
        <v>456</v>
      </c>
      <c r="C108" s="39" t="s">
        <v>457</v>
      </c>
      <c r="D108" s="200"/>
      <c r="E108" s="200"/>
      <c r="F108" s="201"/>
      <c r="G108" s="201"/>
      <c r="H108" s="208">
        <f>'4_priedo_1'!H133</f>
        <v>972261.09</v>
      </c>
      <c r="I108" s="210">
        <f>'4_priedo_1'!I133+'4_priedo_1'!J133</f>
        <v>899341.49999999988</v>
      </c>
      <c r="J108" s="210">
        <f>'4_priedo_1'!K133</f>
        <v>72919.589999999982</v>
      </c>
      <c r="K108" s="210">
        <f>'4_priedo_1'!P133</f>
        <v>347048.25</v>
      </c>
      <c r="L108" s="210">
        <f>'4_priedo_1'!Q133+'4_priedo_1'!R133</f>
        <v>329289.90000000002</v>
      </c>
      <c r="M108" s="210">
        <f>'4_priedo_1'!S133</f>
        <v>17758.350000000002</v>
      </c>
      <c r="N108" s="54"/>
      <c r="O108" s="93"/>
      <c r="P108" s="93"/>
      <c r="Q108" s="93"/>
      <c r="R108" s="93"/>
      <c r="S108" s="93"/>
      <c r="T108" s="93"/>
      <c r="U108" s="93"/>
      <c r="V108" s="93"/>
    </row>
    <row r="109" spans="2:22" ht="150" customHeight="1" x14ac:dyDescent="0.25">
      <c r="B109" s="11"/>
      <c r="C109" s="211"/>
      <c r="D109" s="215">
        <f>'2 lentelė'!E133</f>
        <v>0</v>
      </c>
      <c r="E109" s="215">
        <f>'2 lentelė'!F133</f>
        <v>0</v>
      </c>
      <c r="F109" s="206">
        <f>'4_priedo_2'!I135+'4_priedo_2'!I136</f>
        <v>2</v>
      </c>
      <c r="G109" s="206">
        <f>'4_priedo_2'!K135+'4_priedo_2'!K136</f>
        <v>0</v>
      </c>
      <c r="H109" s="201"/>
      <c r="I109" s="213"/>
      <c r="J109" s="203"/>
      <c r="K109" s="203"/>
      <c r="L109" s="203"/>
      <c r="M109" s="203"/>
      <c r="N109" s="54"/>
      <c r="O109" s="93"/>
      <c r="P109" s="93"/>
      <c r="Q109" s="93"/>
      <c r="R109" s="93"/>
      <c r="S109" s="93"/>
      <c r="T109" s="93"/>
      <c r="U109" s="93"/>
      <c r="V109" s="93"/>
    </row>
    <row r="110" spans="2:22" ht="136.5" customHeight="1" x14ac:dyDescent="0.25">
      <c r="B110" s="11"/>
      <c r="C110" s="211"/>
      <c r="D110" s="215">
        <f>'2 lentelė'!H133</f>
        <v>0</v>
      </c>
      <c r="E110" s="215">
        <f>'2 lentelė'!I133</f>
        <v>0</v>
      </c>
      <c r="F110" s="206">
        <f>'4_priedo_2'!N135+'4_priedo_2'!N136</f>
        <v>7</v>
      </c>
      <c r="G110" s="206">
        <f>'4_priedo_2'!P135+'4_priedo_2'!P136</f>
        <v>0</v>
      </c>
      <c r="H110" s="201"/>
      <c r="I110" s="213"/>
      <c r="J110" s="203"/>
      <c r="K110" s="203"/>
      <c r="L110" s="203"/>
      <c r="M110" s="203"/>
      <c r="N110" s="54"/>
      <c r="O110" s="93"/>
      <c r="P110" s="93"/>
      <c r="Q110" s="93"/>
      <c r="R110" s="93"/>
      <c r="S110" s="93"/>
      <c r="T110" s="93"/>
      <c r="U110" s="93"/>
      <c r="V110" s="93"/>
    </row>
    <row r="111" spans="2:22" ht="136.5" customHeight="1" x14ac:dyDescent="0.25">
      <c r="B111" s="11"/>
      <c r="C111" s="211"/>
      <c r="D111" s="215">
        <f>'2 lentelė'!K133</f>
        <v>0</v>
      </c>
      <c r="E111" s="215">
        <f>'2 lentelė'!L133</f>
        <v>0</v>
      </c>
      <c r="F111" s="206">
        <f>'4_priedo_2'!S135+'4_priedo_2'!S136</f>
        <v>400</v>
      </c>
      <c r="G111" s="206">
        <f>'4_priedo_2'!U135+'4_priedo_2'!U136</f>
        <v>0</v>
      </c>
      <c r="H111" s="201"/>
      <c r="I111" s="213"/>
      <c r="J111" s="203"/>
      <c r="K111" s="203"/>
      <c r="L111" s="203"/>
      <c r="M111" s="203"/>
      <c r="N111" s="54"/>
      <c r="O111" s="93"/>
      <c r="P111" s="93"/>
      <c r="Q111" s="93"/>
      <c r="R111" s="93"/>
      <c r="S111" s="93"/>
      <c r="T111" s="93"/>
      <c r="U111" s="93"/>
      <c r="V111" s="93"/>
    </row>
    <row r="112" spans="2:22" ht="139.5" customHeight="1" x14ac:dyDescent="0.25">
      <c r="B112" s="11"/>
      <c r="C112" s="211"/>
      <c r="D112" s="215">
        <f>'2 lentelė'!N133</f>
        <v>0</v>
      </c>
      <c r="E112" s="215">
        <f>'2 lentelė'!O133</f>
        <v>0</v>
      </c>
      <c r="F112" s="206">
        <f>'4_priedo_2'!X135+'4_priedo_2'!X136</f>
        <v>120</v>
      </c>
      <c r="G112" s="206">
        <f>'4_priedo_2'!Z135+'4_priedo_2'!Z136</f>
        <v>0</v>
      </c>
      <c r="H112" s="201"/>
      <c r="I112" s="213"/>
      <c r="J112" s="203"/>
      <c r="K112" s="203"/>
      <c r="L112" s="203"/>
      <c r="M112" s="203"/>
      <c r="N112" s="54"/>
      <c r="O112" s="93"/>
      <c r="P112" s="93"/>
      <c r="Q112" s="93"/>
      <c r="R112" s="93"/>
      <c r="S112" s="93"/>
      <c r="T112" s="93"/>
      <c r="U112" s="93"/>
      <c r="V112" s="93"/>
    </row>
    <row r="113" spans="2:24" ht="68.25" customHeight="1" x14ac:dyDescent="0.25">
      <c r="B113" s="35" t="str">
        <f>'1 lentelė'!B136</f>
        <v>3.1.1.2</v>
      </c>
      <c r="C113" s="32" t="str">
        <f>'1 lentelė'!D136</f>
        <v>Priemonė:  Mokyklų tinklo efektyvumo didinimas</v>
      </c>
      <c r="D113" s="200"/>
      <c r="E113" s="200"/>
      <c r="F113" s="201"/>
      <c r="G113" s="201"/>
      <c r="H113" s="208">
        <f>'4_priedo_1'!H137</f>
        <v>1226029.76</v>
      </c>
      <c r="I113" s="210">
        <f>'4_priedo_1'!I137+'4_priedo_1'!J137</f>
        <v>903809.65</v>
      </c>
      <c r="J113" s="210">
        <f>'4_priedo_1'!K137</f>
        <v>322220.11000000004</v>
      </c>
      <c r="K113" s="210">
        <f>'4_priedo_1'!P137</f>
        <v>611607.63</v>
      </c>
      <c r="L113" s="210">
        <f>'4_priedo_1'!Q137+'4_priedo_1'!R137</f>
        <v>520019.58999999997</v>
      </c>
      <c r="M113" s="210">
        <f>'4_priedo_1'!S137</f>
        <v>91588.04</v>
      </c>
      <c r="N113" s="54"/>
      <c r="O113" s="93"/>
      <c r="P113" s="93"/>
      <c r="Q113" s="93"/>
      <c r="R113" s="93"/>
      <c r="S113" s="93"/>
      <c r="T113" s="93"/>
      <c r="U113" s="93"/>
      <c r="V113" s="93"/>
    </row>
    <row r="114" spans="2:24" ht="111.75" customHeight="1" x14ac:dyDescent="0.25">
      <c r="B114" s="11"/>
      <c r="C114" s="211"/>
      <c r="D114" s="215" t="str">
        <f>'2 lentelė'!E135</f>
        <v>P.N.717</v>
      </c>
      <c r="E114" s="215" t="str">
        <f>'2 lentelė'!F135</f>
        <v>Pagal veiksmų programą ERPF lėšomis atnaujintos ikimokyklinio ir priešmokyklinio ugdymo mokyklos, vnt.</v>
      </c>
      <c r="F114" s="206">
        <f>'4_priedo_2'!I138+'4_priedo_2'!I139+'4_priedo_2'!I140</f>
        <v>3</v>
      </c>
      <c r="G114" s="206">
        <f>'4_priedo_2'!K138+'4_priedo_2'!K139+'4_priedo_2'!K140</f>
        <v>0</v>
      </c>
      <c r="H114" s="201"/>
      <c r="I114" s="213"/>
      <c r="J114" s="203"/>
      <c r="K114" s="203"/>
      <c r="L114" s="203"/>
      <c r="M114" s="203"/>
      <c r="N114" s="54"/>
      <c r="O114" s="93"/>
      <c r="P114" s="93"/>
      <c r="Q114" s="93"/>
      <c r="R114" s="93"/>
      <c r="S114" s="93"/>
      <c r="T114" s="93"/>
      <c r="U114" s="93"/>
      <c r="V114" s="93"/>
    </row>
    <row r="115" spans="2:24" ht="105" customHeight="1" x14ac:dyDescent="0.25">
      <c r="B115" s="11"/>
      <c r="C115" s="211"/>
      <c r="D115" s="215" t="str">
        <f>'2 lentelė'!H135</f>
        <v>P.N.743</v>
      </c>
      <c r="E115" s="215" t="str">
        <f>'2 lentelė'!I135</f>
        <v xml:space="preserve">Pagal veiksmų programą ERPF lėšomis atnaujintos ikimokyklinio ir/ar priešmokyklinio ugdymo grupės </v>
      </c>
      <c r="F115" s="206">
        <f>'4_priedo_2'!N138+'4_priedo_2'!N139+'4_priedo_2'!N140</f>
        <v>1417</v>
      </c>
      <c r="G115" s="206">
        <f>'4_priedo_2'!P138+'4_priedo_2'!P139+'4_priedo_2'!P140</f>
        <v>0</v>
      </c>
      <c r="H115" s="201"/>
      <c r="I115" s="213"/>
      <c r="J115" s="203"/>
      <c r="K115" s="203"/>
      <c r="L115" s="203"/>
      <c r="M115" s="203"/>
      <c r="N115" s="54"/>
      <c r="O115" s="93"/>
      <c r="P115" s="93"/>
      <c r="Q115" s="93"/>
      <c r="R115" s="93"/>
      <c r="S115" s="93"/>
      <c r="T115" s="93"/>
      <c r="U115" s="93"/>
      <c r="V115" s="93"/>
    </row>
    <row r="116" spans="2:24" ht="72" customHeight="1" x14ac:dyDescent="0.25">
      <c r="B116" s="15" t="str">
        <f>'1 lentelė'!B140</f>
        <v>3.1.2</v>
      </c>
      <c r="C116" s="32" t="str">
        <f>'1 lentelė'!D140</f>
        <v>Uždavinys: Plėtoti neformalaus ugdymosi galimybes</v>
      </c>
      <c r="D116" s="201"/>
      <c r="E116" s="201"/>
      <c r="F116" s="201"/>
      <c r="G116" s="201"/>
      <c r="H116" s="201"/>
      <c r="I116" s="213"/>
      <c r="J116" s="203"/>
      <c r="K116" s="203"/>
      <c r="L116" s="203"/>
      <c r="M116" s="203"/>
      <c r="N116" s="54"/>
      <c r="O116" s="93"/>
      <c r="P116" s="93"/>
      <c r="Q116" s="93"/>
      <c r="R116" s="93"/>
      <c r="S116" s="93"/>
      <c r="T116" s="93"/>
      <c r="U116" s="93"/>
      <c r="V116" s="93"/>
    </row>
    <row r="117" spans="2:24" ht="82.5" customHeight="1" x14ac:dyDescent="0.25">
      <c r="B117" s="213"/>
      <c r="C117" s="213"/>
      <c r="D117" s="15"/>
      <c r="E117" s="15" t="s">
        <v>1076</v>
      </c>
      <c r="F117" s="310">
        <v>38</v>
      </c>
      <c r="G117" s="206">
        <v>0</v>
      </c>
      <c r="H117" s="201"/>
      <c r="I117" s="213"/>
      <c r="J117" s="203"/>
      <c r="K117" s="203"/>
      <c r="L117" s="203"/>
      <c r="M117" s="203"/>
      <c r="N117" s="54"/>
      <c r="O117" s="93"/>
      <c r="P117" s="93"/>
      <c r="Q117" s="93"/>
      <c r="R117" s="93"/>
      <c r="S117" s="93"/>
      <c r="T117" s="93"/>
      <c r="U117" s="93"/>
      <c r="V117" s="93"/>
    </row>
    <row r="118" spans="2:24" ht="79.5" customHeight="1" x14ac:dyDescent="0.25">
      <c r="B118" s="35" t="str">
        <f>'1 lentelė'!B141</f>
        <v>3.1.2.1</v>
      </c>
      <c r="C118" s="32" t="str">
        <f>'1 lentelė'!D141</f>
        <v>Priemonė: Neformaliojo švietimo infrastruktūros tobulinimas</v>
      </c>
      <c r="D118" s="200"/>
      <c r="E118" s="200"/>
      <c r="F118" s="201"/>
      <c r="G118" s="201"/>
      <c r="H118" s="208">
        <f>'4_priedo_1'!H142</f>
        <v>1666630.9</v>
      </c>
      <c r="I118" s="210">
        <f>'4_priedo_1'!I142+'4_priedo_1'!J142</f>
        <v>1404711</v>
      </c>
      <c r="J118" s="210">
        <f>'4_priedo_1'!K142</f>
        <v>261919.89999999991</v>
      </c>
      <c r="K118" s="210">
        <f>'4_priedo_1'!P142</f>
        <v>802748.69</v>
      </c>
      <c r="L118" s="210">
        <f>'4_priedo_1'!Q142+'4_priedo_1'!R142</f>
        <v>716684.72</v>
      </c>
      <c r="M118" s="210">
        <f>'4_priedo_1'!S142</f>
        <v>86063.97</v>
      </c>
      <c r="N118" s="54"/>
      <c r="O118" s="93"/>
      <c r="P118" s="93"/>
      <c r="Q118" s="93"/>
      <c r="R118" s="93"/>
      <c r="S118" s="93"/>
      <c r="T118" s="93"/>
      <c r="U118" s="93"/>
      <c r="V118" s="93"/>
    </row>
    <row r="119" spans="2:24" ht="105" customHeight="1" x14ac:dyDescent="0.25">
      <c r="B119" s="11"/>
      <c r="C119" s="211"/>
      <c r="D119" s="215">
        <f>'2 lentelė'!E140</f>
        <v>0</v>
      </c>
      <c r="E119" s="215">
        <f>'2 lentelė'!F140</f>
        <v>0</v>
      </c>
      <c r="F119" s="206">
        <f>'4_priedo_2'!I143+'4_priedo_2'!I144</f>
        <v>2</v>
      </c>
      <c r="G119" s="206">
        <f>'4_priedo_2'!K143+'4_priedo_2'!K144</f>
        <v>0</v>
      </c>
      <c r="H119" s="201"/>
      <c r="I119" s="213"/>
      <c r="J119" s="203"/>
      <c r="K119" s="203"/>
      <c r="L119" s="203"/>
      <c r="M119" s="203"/>
      <c r="N119" s="54"/>
      <c r="O119" s="93"/>
      <c r="P119" s="93"/>
      <c r="Q119" s="93"/>
      <c r="R119" s="93"/>
      <c r="S119" s="93"/>
      <c r="T119" s="93"/>
      <c r="U119" s="93"/>
      <c r="V119" s="93"/>
    </row>
    <row r="120" spans="2:24" ht="103.5" customHeight="1" x14ac:dyDescent="0.25">
      <c r="B120" s="11"/>
      <c r="C120" s="211"/>
      <c r="D120" s="215">
        <f>'2 lentelė'!H140</f>
        <v>0</v>
      </c>
      <c r="E120" s="215">
        <f>'2 lentelė'!I140</f>
        <v>0</v>
      </c>
      <c r="F120" s="206">
        <f>'4_priedo_2'!N143+'4_priedo_2'!N144</f>
        <v>685</v>
      </c>
      <c r="G120" s="206">
        <f>'4_priedo_2'!P143+'4_priedo_2'!P144</f>
        <v>0</v>
      </c>
      <c r="H120" s="201"/>
      <c r="I120" s="213"/>
      <c r="J120" s="203"/>
      <c r="K120" s="203"/>
      <c r="L120" s="203"/>
      <c r="M120" s="203"/>
      <c r="N120" s="54"/>
      <c r="O120" s="93"/>
      <c r="P120" s="93"/>
      <c r="Q120" s="93"/>
      <c r="R120" s="93"/>
      <c r="S120" s="93"/>
      <c r="T120" s="93"/>
      <c r="U120" s="93"/>
      <c r="V120" s="93"/>
    </row>
    <row r="121" spans="2:24" ht="88.5" customHeight="1" x14ac:dyDescent="0.25">
      <c r="B121" s="39" t="str">
        <f>'1 lentelė'!B144</f>
        <v xml:space="preserve">3.2 </v>
      </c>
      <c r="C121" s="39" t="str">
        <f>'1 lentelė'!D144</f>
        <v>Tikslas: Viešųjų paslaugų prieinamumo didinimas</v>
      </c>
      <c r="D121" s="213"/>
      <c r="E121" s="213"/>
      <c r="F121" s="213"/>
      <c r="G121" s="213"/>
      <c r="H121" s="201"/>
      <c r="I121" s="213"/>
      <c r="J121" s="203"/>
      <c r="K121" s="203"/>
      <c r="L121" s="203"/>
      <c r="M121" s="203"/>
      <c r="N121" s="54"/>
      <c r="O121" s="93"/>
      <c r="P121" s="93"/>
      <c r="Q121" s="93"/>
      <c r="R121" s="93"/>
      <c r="S121" s="93"/>
      <c r="T121" s="93"/>
      <c r="U121" s="93"/>
      <c r="V121" s="93"/>
    </row>
    <row r="122" spans="2:24" ht="148.5" customHeight="1" x14ac:dyDescent="0.25">
      <c r="B122" s="11"/>
      <c r="C122" s="211"/>
      <c r="D122" s="215"/>
      <c r="E122" s="215" t="s">
        <v>1254</v>
      </c>
      <c r="F122" s="206">
        <v>100</v>
      </c>
      <c r="G122" s="206">
        <v>84</v>
      </c>
      <c r="H122" s="201"/>
      <c r="I122" s="213"/>
      <c r="J122" s="203"/>
      <c r="K122" s="203"/>
      <c r="L122" s="203"/>
      <c r="M122" s="203"/>
      <c r="N122" s="54"/>
      <c r="O122" s="93"/>
      <c r="P122" s="308"/>
      <c r="Q122" s="101">
        <v>54.92</v>
      </c>
      <c r="R122" s="101">
        <v>46.17</v>
      </c>
      <c r="S122" s="101">
        <f>R122/Q122*100</f>
        <v>84.067734887108529</v>
      </c>
      <c r="T122" s="308"/>
      <c r="U122" s="308"/>
      <c r="V122" s="93"/>
    </row>
    <row r="123" spans="2:24" ht="103.5" customHeight="1" x14ac:dyDescent="0.25">
      <c r="B123" s="39" t="str">
        <f>'1 lentelė'!B145</f>
        <v>3.2.1</v>
      </c>
      <c r="C123" s="39" t="str">
        <f>'1 lentelė'!D145</f>
        <v>Uždavinys: Užtikrinti kokybišką ir prieinamą sveikatos priežiūrą</v>
      </c>
      <c r="D123" s="201"/>
      <c r="E123" s="201"/>
      <c r="F123" s="201"/>
      <c r="G123" s="201"/>
      <c r="H123" s="201"/>
      <c r="I123" s="213"/>
      <c r="J123" s="203"/>
      <c r="K123" s="203"/>
      <c r="L123" s="203"/>
      <c r="M123" s="203"/>
      <c r="N123" s="54"/>
      <c r="O123" s="93"/>
      <c r="P123" s="93"/>
      <c r="Q123" s="93"/>
      <c r="R123" s="93"/>
      <c r="S123" s="93"/>
      <c r="T123" s="93"/>
      <c r="U123" s="93"/>
      <c r="V123" s="93"/>
    </row>
    <row r="124" spans="2:24" ht="103.5" customHeight="1" x14ac:dyDescent="0.25">
      <c r="B124" s="11"/>
      <c r="C124" s="211"/>
      <c r="D124" s="215"/>
      <c r="E124" s="215" t="s">
        <v>1255</v>
      </c>
      <c r="F124" s="206" t="s">
        <v>1264</v>
      </c>
      <c r="G124" s="206" t="s">
        <v>1263</v>
      </c>
      <c r="H124" s="201"/>
      <c r="I124" s="213"/>
      <c r="J124" s="203"/>
      <c r="K124" s="203"/>
      <c r="L124" s="203"/>
      <c r="M124" s="203"/>
      <c r="N124" s="54"/>
      <c r="O124" s="93"/>
      <c r="P124" s="308"/>
      <c r="Q124" s="101" t="s">
        <v>1261</v>
      </c>
      <c r="R124" s="306" t="s">
        <v>1262</v>
      </c>
      <c r="S124" s="101">
        <f>1110.4/1040.6*100</f>
        <v>106.70766865270038</v>
      </c>
      <c r="T124" s="308"/>
      <c r="U124" s="308"/>
      <c r="V124" s="308"/>
      <c r="W124" s="6"/>
      <c r="X124" s="6"/>
    </row>
    <row r="125" spans="2:24" ht="92.25" customHeight="1" x14ac:dyDescent="0.25">
      <c r="B125" s="35" t="str">
        <f>'1 lentelė'!B146</f>
        <v>3.2.1.1</v>
      </c>
      <c r="C125" s="32" t="str">
        <f>'1 lentelė'!D146</f>
        <v>Priemonė: Pirminės asmens ir visuomenės sveikatos priežiūros veiklos efektyvumo didinimas</v>
      </c>
      <c r="D125" s="200"/>
      <c r="E125" s="200"/>
      <c r="F125" s="201"/>
      <c r="G125" s="201"/>
      <c r="H125" s="208">
        <f>'4_priedo_1'!H147</f>
        <v>1285055.21</v>
      </c>
      <c r="I125" s="225">
        <f>'4_priedo_1'!I147+'4_priedo_1'!J147</f>
        <v>1184655.0599999998</v>
      </c>
      <c r="J125" s="225">
        <f>'4_priedo_1'!K147</f>
        <v>100400.15000000002</v>
      </c>
      <c r="K125" s="210">
        <f>'4_priedo_1'!P147</f>
        <v>785407.96999999986</v>
      </c>
      <c r="L125" s="210">
        <f>'4_priedo_1'!Q147+'4_priedo_1'!R147</f>
        <v>725875.97</v>
      </c>
      <c r="M125" s="210">
        <f>'4_priedo_1'!S147</f>
        <v>59532.000000000007</v>
      </c>
      <c r="N125" s="54"/>
      <c r="O125" s="93"/>
      <c r="P125" s="93"/>
      <c r="Q125" s="93"/>
      <c r="R125" s="93"/>
      <c r="S125" s="93"/>
      <c r="T125" s="93"/>
      <c r="U125" s="93"/>
      <c r="V125" s="93"/>
    </row>
    <row r="126" spans="2:24" ht="116.25" customHeight="1" x14ac:dyDescent="0.25">
      <c r="B126" s="11"/>
      <c r="C126" s="211"/>
      <c r="D126" s="215">
        <f>'2 lentelė'!E145</f>
        <v>0</v>
      </c>
      <c r="E126" s="215">
        <f>'2 lentelė'!F145</f>
        <v>0</v>
      </c>
      <c r="F126" s="206">
        <f>SUM('4_priedo_2'!I148:'4_priedo_2'!I156)</f>
        <v>99689</v>
      </c>
      <c r="G126" s="332">
        <f>'4_priedo_2'!K150+'4_priedo_2'!K153</f>
        <v>8008</v>
      </c>
      <c r="H126" s="201"/>
      <c r="I126" s="213"/>
      <c r="J126" s="203"/>
      <c r="K126" s="203"/>
      <c r="L126" s="203"/>
      <c r="M126" s="203"/>
      <c r="N126" s="54"/>
      <c r="O126" s="93"/>
      <c r="P126" s="308"/>
      <c r="Q126" s="101">
        <f>7978/99689*100</f>
        <v>8.0028889847425493</v>
      </c>
      <c r="R126" s="308"/>
      <c r="S126" s="93"/>
      <c r="T126" s="93"/>
      <c r="U126" s="93"/>
      <c r="V126" s="93"/>
    </row>
    <row r="127" spans="2:24" ht="198" customHeight="1" x14ac:dyDescent="0.25">
      <c r="B127" s="11"/>
      <c r="C127" s="211"/>
      <c r="D127" s="215">
        <f>'2 lentelė'!H145</f>
        <v>0</v>
      </c>
      <c r="E127" s="215">
        <f>'2 lentelė'!I145</f>
        <v>0</v>
      </c>
      <c r="F127" s="206">
        <f>SUM('4_priedo_2'!N148:'4_priedo_2'!N156)</f>
        <v>9</v>
      </c>
      <c r="G127" s="206">
        <f>SUM('4_priedo_2'!P148:'4_priedo_2'!P156)</f>
        <v>2</v>
      </c>
      <c r="H127" s="201"/>
      <c r="I127" s="213"/>
      <c r="J127" s="203"/>
      <c r="K127" s="203"/>
      <c r="L127" s="203"/>
      <c r="M127" s="203"/>
      <c r="N127" s="54"/>
      <c r="O127" s="93"/>
      <c r="P127" s="93"/>
      <c r="Q127" s="93"/>
      <c r="R127" s="93"/>
      <c r="S127" s="93"/>
      <c r="T127" s="93"/>
      <c r="U127" s="93"/>
      <c r="V127" s="93"/>
    </row>
    <row r="128" spans="2:24" ht="155.25" customHeight="1" x14ac:dyDescent="0.25">
      <c r="B128" s="35" t="str">
        <f>'1 lentelė'!B156</f>
        <v>3.2.1.2</v>
      </c>
      <c r="C128" s="32" t="str">
        <f>'1 lentelė'!D156</f>
        <v>Priemonė: Priemonių, gerinančių ambulatorinių sveikatos priežiūros paslaugų prieinamumą tuberkulioze sergantiems asmenims, įgyvendinimas</v>
      </c>
      <c r="D128" s="200"/>
      <c r="E128" s="200"/>
      <c r="F128" s="201"/>
      <c r="G128" s="201"/>
      <c r="H128" s="208">
        <f>'4_priedo_1'!H157</f>
        <v>41354.43</v>
      </c>
      <c r="I128" s="225">
        <f>'4_priedo_1'!I157+'4_priedo_1'!J157</f>
        <v>38251.330000000009</v>
      </c>
      <c r="J128" s="210">
        <f>'4_priedo_1'!K157</f>
        <v>3103.1</v>
      </c>
      <c r="K128" s="210">
        <f>'4_priedo_1'!P157</f>
        <v>9251.4399999999987</v>
      </c>
      <c r="L128" s="210">
        <f>'4_priedo_1'!Q157+'4_priedo_1'!R157</f>
        <v>8831.6299999999992</v>
      </c>
      <c r="M128" s="210">
        <f>'4_priedo_1'!S157</f>
        <v>419.81000000000034</v>
      </c>
      <c r="N128" s="54"/>
      <c r="O128" s="93"/>
      <c r="P128" s="93"/>
      <c r="Q128" s="93"/>
      <c r="R128" s="93"/>
      <c r="S128" s="93"/>
      <c r="T128" s="93"/>
      <c r="U128" s="93"/>
      <c r="V128" s="93"/>
    </row>
    <row r="129" spans="2:34" ht="258.75" customHeight="1" x14ac:dyDescent="0.25">
      <c r="B129" s="11"/>
      <c r="C129" s="211"/>
      <c r="D129" s="215" t="str">
        <f>'2 lentelė'!E155</f>
        <v>P.B.236</v>
      </c>
      <c r="E129" s="215" t="str">
        <f>'2 lentelė'!F155</f>
        <v>Gyventojai, turintys galimybę pasinaudoti pagerintomis sveikatos priežiūros paslaugomis</v>
      </c>
      <c r="F129" s="206">
        <f>SUM('4_priedo_2'!I158:'4_priedo_2'!I163)</f>
        <v>101</v>
      </c>
      <c r="G129" s="206">
        <f>SUM('4_priedo_2'!K158:'4_priedo_2'!K163)</f>
        <v>29</v>
      </c>
      <c r="H129" s="201"/>
      <c r="I129" s="305"/>
      <c r="J129" s="203"/>
      <c r="K129" s="203"/>
      <c r="L129" s="203"/>
      <c r="M129" s="203"/>
      <c r="N129" s="54"/>
      <c r="O129" s="93"/>
      <c r="P129" s="93"/>
      <c r="Q129" s="93"/>
      <c r="R129" s="93"/>
      <c r="S129" s="93"/>
      <c r="T129" s="93"/>
      <c r="U129" s="93"/>
      <c r="V129" s="93"/>
    </row>
    <row r="130" spans="2:34" ht="96" customHeight="1" x14ac:dyDescent="0.25">
      <c r="B130" s="39" t="str">
        <f>'1 lentelė'!B163</f>
        <v>3.2.2</v>
      </c>
      <c r="C130" s="39" t="str">
        <f>'1 lentelė'!D163</f>
        <v>Uždavinys: Skatinti sveiką gyvenseną ir visuomenės sveikatos raštingumą</v>
      </c>
      <c r="D130" s="213"/>
      <c r="E130" s="213"/>
      <c r="F130" s="213"/>
      <c r="G130" s="213"/>
      <c r="H130" s="201"/>
      <c r="I130" s="213"/>
      <c r="J130" s="203"/>
      <c r="K130" s="203"/>
      <c r="L130" s="203"/>
      <c r="M130" s="203"/>
      <c r="N130" s="54"/>
      <c r="O130" s="93"/>
      <c r="P130" s="93"/>
      <c r="Q130" s="93"/>
      <c r="R130" s="93"/>
      <c r="S130" s="93"/>
      <c r="T130" s="93"/>
      <c r="U130" s="93"/>
      <c r="V130" s="93"/>
    </row>
    <row r="131" spans="2:34" ht="96" customHeight="1" x14ac:dyDescent="0.25">
      <c r="B131" s="201"/>
      <c r="C131" s="201"/>
      <c r="D131" s="215"/>
      <c r="E131" s="215" t="s">
        <v>1256</v>
      </c>
      <c r="F131" s="39" t="s">
        <v>1264</v>
      </c>
      <c r="G131" s="215" t="s">
        <v>1267</v>
      </c>
      <c r="H131" s="201"/>
      <c r="I131" s="213"/>
      <c r="J131" s="203"/>
      <c r="K131" s="203"/>
      <c r="L131" s="203"/>
      <c r="M131" s="203"/>
      <c r="N131" s="54"/>
      <c r="O131" s="93"/>
      <c r="P131" s="308"/>
      <c r="Q131" s="101" t="s">
        <v>1265</v>
      </c>
      <c r="R131" s="306" t="s">
        <v>1266</v>
      </c>
      <c r="S131" s="101">
        <f>339.7/310.5*100</f>
        <v>109.40418679549113</v>
      </c>
      <c r="T131" s="308"/>
      <c r="U131" s="308"/>
      <c r="V131" s="93"/>
    </row>
    <row r="132" spans="2:34" ht="105.75" customHeight="1" x14ac:dyDescent="0.25">
      <c r="B132" s="35" t="str">
        <f>'4_priedo_1'!B165</f>
        <v>3.2.2.1</v>
      </c>
      <c r="C132" s="29" t="str">
        <f>'4_priedo_1'!D165</f>
        <v xml:space="preserve">Priemonė: Sveikos gyvensenos skatinimas regioniniu lygiu </v>
      </c>
      <c r="D132" s="200"/>
      <c r="E132" s="200"/>
      <c r="F132" s="201"/>
      <c r="G132" s="201"/>
      <c r="H132" s="39">
        <f>'4_priedo_1'!H165</f>
        <v>988798.29000000015</v>
      </c>
      <c r="I132" s="39">
        <f>'4_priedo_1'!I165+'4_priedo_1'!J165</f>
        <v>914621.85000000009</v>
      </c>
      <c r="J132" s="39">
        <f>'4_priedo_1'!K165</f>
        <v>74176.440000000031</v>
      </c>
      <c r="K132" s="39">
        <f>'4_priedo_1'!P165</f>
        <v>542792.16</v>
      </c>
      <c r="L132" s="39">
        <f>'4_priedo_1'!Q165+'4_priedo_1'!R165</f>
        <v>505730.8299999999</v>
      </c>
      <c r="M132" s="39">
        <f>'4_priedo_1'!S165</f>
        <v>37061.330000000009</v>
      </c>
      <c r="N132" s="54"/>
      <c r="O132" s="93"/>
      <c r="P132" s="93"/>
      <c r="Q132" s="93"/>
      <c r="R132" s="93"/>
      <c r="S132" s="93"/>
      <c r="T132" s="93"/>
      <c r="U132" s="93"/>
      <c r="V132" s="93"/>
    </row>
    <row r="133" spans="2:34" ht="195" customHeight="1" x14ac:dyDescent="0.25">
      <c r="B133" s="11"/>
      <c r="C133" s="211"/>
      <c r="D133" s="215" t="str">
        <f>'4_priedo_2'!G166</f>
        <v>P.S.372</v>
      </c>
      <c r="E133" s="215" t="str">
        <f>'4_priedo_2'!H166</f>
        <v>Tikslinių grupių asmenys, kurie dalyvavo informavimo, švietimo ir mokymo renginiuose bei sveikatos raštingumą didiniančiose veiklose, skaičius (2018 m.-515)</v>
      </c>
      <c r="F133" s="206">
        <f>SUM('4_priedo_2'!I166:'4_priedo_2'!I172)</f>
        <v>9630</v>
      </c>
      <c r="G133" s="206">
        <f>SUM('4_priedo_2'!K166:'4_priedo_2'!K172)</f>
        <v>6680</v>
      </c>
      <c r="H133" s="201"/>
      <c r="I133" s="203"/>
      <c r="J133" s="203"/>
      <c r="K133" s="203"/>
      <c r="L133" s="203"/>
      <c r="M133" s="203"/>
      <c r="N133" s="54"/>
      <c r="O133" s="93"/>
      <c r="P133" s="93"/>
      <c r="Q133" s="93"/>
      <c r="R133" s="93"/>
      <c r="S133" s="93"/>
      <c r="T133" s="93"/>
      <c r="U133" s="93"/>
      <c r="V133" s="93"/>
    </row>
    <row r="134" spans="2:34" ht="73.5" customHeight="1" x14ac:dyDescent="0.25">
      <c r="B134" s="11"/>
      <c r="C134" s="211"/>
      <c r="D134" s="215" t="str">
        <f>'4_priedo_2'!L166</f>
        <v>P.N.671</v>
      </c>
      <c r="E134" s="215" t="str">
        <f>'4_priedo_2'!M166</f>
        <v>„Modernizuoti savivaldybių visuomenės sveikatos biurai“, vnt.</v>
      </c>
      <c r="F134" s="206">
        <f>'4_priedo_2'!N166</f>
        <v>1</v>
      </c>
      <c r="G134" s="206">
        <f>'4_priedo_2'!P166</f>
        <v>1</v>
      </c>
      <c r="H134" s="201"/>
      <c r="I134" s="213"/>
      <c r="J134" s="203"/>
      <c r="K134" s="203"/>
      <c r="L134" s="203"/>
      <c r="M134" s="203"/>
      <c r="N134" s="54"/>
      <c r="O134" s="93"/>
      <c r="P134" s="93"/>
      <c r="Q134" s="93"/>
      <c r="R134" s="93"/>
      <c r="S134" s="93"/>
      <c r="T134" s="93"/>
      <c r="U134" s="93"/>
      <c r="V134" s="93"/>
    </row>
    <row r="135" spans="2:34" ht="120" customHeight="1" x14ac:dyDescent="0.25">
      <c r="B135" s="223" t="str">
        <f>'4_priedo_1'!B173</f>
        <v>3.2.3</v>
      </c>
      <c r="C135" s="216" t="str">
        <f>'4_priedo_1'!D173</f>
        <v>Uždavinys: Plėtoti socialinių paslaugų infrastruktūrą ir socialinio būsto fondą bei didinti jų prieinamumą</v>
      </c>
      <c r="D135" s="200"/>
      <c r="E135" s="200"/>
      <c r="F135" s="201"/>
      <c r="G135" s="201"/>
      <c r="H135" s="201"/>
      <c r="I135" s="201"/>
      <c r="J135" s="201"/>
      <c r="K135" s="201"/>
      <c r="L135" s="201"/>
      <c r="M135" s="201"/>
      <c r="N135" s="54"/>
      <c r="O135" s="101"/>
      <c r="P135" s="101"/>
      <c r="Q135" s="306" t="s">
        <v>1273</v>
      </c>
      <c r="R135" s="306" t="s">
        <v>1268</v>
      </c>
      <c r="S135" s="280" t="s">
        <v>1269</v>
      </c>
      <c r="T135" s="306" t="s">
        <v>1270</v>
      </c>
      <c r="U135" s="306" t="s">
        <v>1268</v>
      </c>
      <c r="V135" s="280" t="s">
        <v>1269</v>
      </c>
      <c r="W135" s="311" t="s">
        <v>1271</v>
      </c>
      <c r="X135" s="306" t="s">
        <v>1268</v>
      </c>
      <c r="Y135" s="280" t="s">
        <v>1269</v>
      </c>
      <c r="Z135" s="311" t="s">
        <v>1272</v>
      </c>
      <c r="AA135" s="306" t="s">
        <v>1268</v>
      </c>
      <c r="AB135" s="280" t="s">
        <v>1269</v>
      </c>
      <c r="AC135" s="311" t="s">
        <v>1274</v>
      </c>
      <c r="AD135" s="315" t="s">
        <v>1268</v>
      </c>
      <c r="AE135" s="276" t="s">
        <v>1269</v>
      </c>
      <c r="AF135" s="315" t="s">
        <v>1275</v>
      </c>
      <c r="AG135" s="315" t="s">
        <v>1268</v>
      </c>
      <c r="AH135" s="276" t="s">
        <v>1269</v>
      </c>
    </row>
    <row r="136" spans="2:34" ht="171.75" customHeight="1" x14ac:dyDescent="0.25">
      <c r="B136" s="11"/>
      <c r="C136" s="211"/>
      <c r="D136" s="215"/>
      <c r="E136" s="215" t="s">
        <v>1077</v>
      </c>
      <c r="F136" s="206">
        <v>14</v>
      </c>
      <c r="G136" s="206">
        <f>P136</f>
        <v>54.585028635370215</v>
      </c>
      <c r="H136" s="201"/>
      <c r="I136" s="213"/>
      <c r="J136" s="203"/>
      <c r="K136" s="203"/>
      <c r="L136" s="203"/>
      <c r="M136" s="203"/>
      <c r="N136" s="54"/>
      <c r="O136" s="312">
        <f>S136+V136+Y136+AB136+AE136+AH136</f>
        <v>327.5101718122213</v>
      </c>
      <c r="P136" s="312">
        <f>O136/6</f>
        <v>54.585028635370215</v>
      </c>
      <c r="Q136" s="101">
        <v>103</v>
      </c>
      <c r="R136" s="101">
        <f>114+103</f>
        <v>217</v>
      </c>
      <c r="S136" s="316">
        <f>Q136/R136*100</f>
        <v>47.465437788018434</v>
      </c>
      <c r="T136" s="101">
        <v>196</v>
      </c>
      <c r="U136" s="101">
        <f>154+196</f>
        <v>350</v>
      </c>
      <c r="V136" s="316">
        <f>T136/U136*100</f>
        <v>56.000000000000007</v>
      </c>
      <c r="W136" s="44">
        <v>146</v>
      </c>
      <c r="X136" s="44">
        <f>94+146</f>
        <v>240</v>
      </c>
      <c r="Y136" s="317">
        <f>W136/X136*100</f>
        <v>60.833333333333329</v>
      </c>
      <c r="Z136" s="44">
        <v>117</v>
      </c>
      <c r="AA136" s="44">
        <f>174+117</f>
        <v>291</v>
      </c>
      <c r="AB136" s="317">
        <f>Z136/AA136*100</f>
        <v>40.206185567010309</v>
      </c>
      <c r="AC136" s="44">
        <v>93</v>
      </c>
      <c r="AD136" s="44">
        <f>63+93</f>
        <v>156</v>
      </c>
      <c r="AE136" s="317">
        <f>AC136/AD136*100</f>
        <v>59.615384615384613</v>
      </c>
      <c r="AF136" s="44">
        <v>187</v>
      </c>
      <c r="AG136" s="44">
        <f>108+187</f>
        <v>295</v>
      </c>
      <c r="AH136" s="317">
        <f>AF136/AG136*100</f>
        <v>63.389830508474574</v>
      </c>
    </row>
    <row r="137" spans="2:34" ht="72" customHeight="1" x14ac:dyDescent="0.25">
      <c r="B137" s="223" t="str">
        <f>'4_priedo_1'!B174</f>
        <v>3.2.3.1</v>
      </c>
      <c r="C137" s="216" t="str">
        <f>'4_priedo_1'!D174</f>
        <v>Priemonė: Socialinių paslaugų infrastruktūros plėtra</v>
      </c>
      <c r="D137" s="200"/>
      <c r="E137" s="200"/>
      <c r="F137" s="201"/>
      <c r="G137" s="201"/>
      <c r="H137" s="210">
        <f>'4_priedo_1'!H174</f>
        <v>1222220.76</v>
      </c>
      <c r="I137" s="210">
        <f>'4_priedo_1'!I174+'4_priedo_1'!J174</f>
        <v>810748</v>
      </c>
      <c r="J137" s="210">
        <f>'4_priedo_1'!K174</f>
        <v>411472.75999999995</v>
      </c>
      <c r="K137" s="210">
        <f>'4_priedo_1'!P174</f>
        <v>892589.46000000008</v>
      </c>
      <c r="L137" s="210">
        <f>'4_priedo_1'!Q174+'4_priedo_1'!R174</f>
        <v>637966.09000000008</v>
      </c>
      <c r="M137" s="210">
        <f>'4_priedo_1'!S174</f>
        <v>254623.37</v>
      </c>
      <c r="N137" s="54"/>
      <c r="O137" s="93"/>
      <c r="P137" s="93"/>
      <c r="Q137" s="93"/>
      <c r="R137" s="93"/>
      <c r="S137" s="93"/>
      <c r="T137" s="93"/>
      <c r="U137" s="93"/>
      <c r="V137" s="93"/>
    </row>
    <row r="138" spans="2:34" ht="94.5" customHeight="1" x14ac:dyDescent="0.25">
      <c r="B138" s="11"/>
      <c r="C138" s="211"/>
      <c r="D138" s="215" t="str">
        <f>'4_priedo_2'!G175</f>
        <v>P.S.361</v>
      </c>
      <c r="E138" s="215" t="str">
        <f>'4_priedo_2'!H175</f>
        <v>Investicijas gavę socialinių paslaugų infrastruktūros objektai, vnt.</v>
      </c>
      <c r="F138" s="206">
        <f>SUM('4_priedo_2'!I175:'4_priedo_2'!I178)</f>
        <v>4</v>
      </c>
      <c r="G138" s="206">
        <f>SUM('4_priedo_2'!K175:'4_priedo_2'!K178)</f>
        <v>2</v>
      </c>
      <c r="H138" s="201"/>
      <c r="I138" s="213"/>
      <c r="J138" s="203"/>
      <c r="K138" s="203"/>
      <c r="L138" s="203"/>
      <c r="M138" s="203"/>
      <c r="N138" s="54"/>
      <c r="O138" s="93"/>
      <c r="P138" s="93"/>
      <c r="Q138" s="93"/>
      <c r="R138" s="93"/>
      <c r="S138" s="93"/>
      <c r="T138" s="93"/>
      <c r="U138" s="93"/>
      <c r="V138" s="93"/>
    </row>
    <row r="139" spans="2:34" ht="132.75" customHeight="1" x14ac:dyDescent="0.25">
      <c r="B139" s="11"/>
      <c r="C139" s="211"/>
      <c r="D139" s="215" t="str">
        <f>'4_priedo_2'!L175</f>
        <v>P.N.403</v>
      </c>
      <c r="E139" s="215" t="str">
        <f>'4_priedo_2'!M175</f>
        <v>Tikslinių grupių asmenys, gavę tiesioginės naudos iš investicijų į socialinių paslaugų infrastruktūrą</v>
      </c>
      <c r="F139" s="206">
        <f>SUM('4_priedo_2'!N175:'4_priedo_2'!N178)</f>
        <v>70</v>
      </c>
      <c r="G139" s="206">
        <f>SUM('4_priedo_2'!P175:'4_priedo_2'!P178)</f>
        <v>0</v>
      </c>
      <c r="H139" s="201"/>
      <c r="I139" s="213"/>
      <c r="J139" s="203"/>
      <c r="K139" s="203"/>
      <c r="L139" s="203"/>
      <c r="M139" s="203"/>
      <c r="N139" s="54"/>
      <c r="O139" s="93"/>
      <c r="P139" s="93"/>
      <c r="Q139" s="93"/>
      <c r="R139" s="93"/>
      <c r="S139" s="93"/>
      <c r="T139" s="93"/>
      <c r="U139" s="93"/>
      <c r="V139" s="93"/>
    </row>
    <row r="140" spans="2:34" ht="108" customHeight="1" x14ac:dyDescent="0.25">
      <c r="B140" s="11"/>
      <c r="C140" s="211"/>
      <c r="D140" s="215" t="str">
        <f>'4_priedo_2'!Q175</f>
        <v>R.N.404</v>
      </c>
      <c r="E140" s="215" t="str">
        <f>'4_priedo_2'!R175</f>
        <v>Investicijas gavusiose įstaigose esančios vietos socialinių paslaugų gavėjams</v>
      </c>
      <c r="F140" s="206">
        <f>SUM('4_priedo_2'!S175:'4_priedo_2'!S178)</f>
        <v>93</v>
      </c>
      <c r="G140" s="206">
        <f>SUM('4_priedo_2'!U175:'4_priedo_2'!U178)</f>
        <v>42</v>
      </c>
      <c r="H140" s="201"/>
      <c r="I140" s="213"/>
      <c r="J140" s="203"/>
      <c r="K140" s="203"/>
      <c r="L140" s="203"/>
      <c r="M140" s="203"/>
      <c r="N140" s="54"/>
      <c r="O140" s="93"/>
      <c r="P140" s="93"/>
      <c r="Q140" s="308"/>
      <c r="R140" s="308"/>
      <c r="S140" s="308"/>
      <c r="T140" s="93"/>
      <c r="U140" s="93"/>
      <c r="V140" s="93"/>
    </row>
    <row r="141" spans="2:34" ht="59.25" customHeight="1" x14ac:dyDescent="0.25">
      <c r="B141" s="223" t="str">
        <f>'4_priedo_1'!B179</f>
        <v>3.2.3.2</v>
      </c>
      <c r="C141" s="216" t="str">
        <f>'4_priedo_1'!D179</f>
        <v>Priemonė: Socialinio būsto fondo plėtra</v>
      </c>
      <c r="D141" s="200"/>
      <c r="E141" s="200"/>
      <c r="F141" s="201"/>
      <c r="G141" s="201"/>
      <c r="H141" s="210">
        <f>'4_priedo_1'!H179</f>
        <v>2580012.04</v>
      </c>
      <c r="I141" s="210">
        <f>'4_priedo_1'!I179+'4_priedo_1'!J179</f>
        <v>2192956.21</v>
      </c>
      <c r="J141" s="210">
        <f>'4_priedo_1'!K179</f>
        <v>387055.82999999996</v>
      </c>
      <c r="K141" s="210">
        <f>'4_priedo_1'!P179</f>
        <v>2233091.27</v>
      </c>
      <c r="L141" s="210">
        <f>'4_priedo_1'!Q179+'4_priedo_1'!R179</f>
        <v>1913296.63</v>
      </c>
      <c r="M141" s="210">
        <f>'4_priedo_1'!S179</f>
        <v>319794.64</v>
      </c>
      <c r="N141" s="54"/>
      <c r="O141" s="93"/>
      <c r="P141" s="93"/>
      <c r="Q141" s="93"/>
      <c r="R141" s="93"/>
      <c r="S141" s="93"/>
      <c r="T141" s="93"/>
      <c r="U141" s="93"/>
      <c r="V141" s="93"/>
    </row>
    <row r="142" spans="2:34" ht="60" customHeight="1" x14ac:dyDescent="0.25">
      <c r="B142" s="11"/>
      <c r="C142" s="211"/>
      <c r="D142" s="215" t="str">
        <f>'4_priedo_2'!G180</f>
        <v>P.S.362</v>
      </c>
      <c r="E142" s="215" t="str">
        <f>'4_priedo_2'!H180</f>
        <v>Naujai įrengti ar įsigyti socialiniai būstai</v>
      </c>
      <c r="F142" s="206">
        <f>SUM('4_priedo_2'!I180:'4_priedo_2'!I185)</f>
        <v>138</v>
      </c>
      <c r="G142" s="206">
        <f>SUM('4_priedo_2'!K180:'4_priedo_2'!K185)</f>
        <v>95</v>
      </c>
      <c r="H142" s="201"/>
      <c r="I142" s="213"/>
      <c r="J142" s="203"/>
      <c r="K142" s="203"/>
      <c r="L142" s="203"/>
      <c r="M142" s="203"/>
      <c r="N142" s="54"/>
      <c r="O142" s="93"/>
      <c r="P142" s="93"/>
      <c r="Q142" s="93"/>
      <c r="R142" s="93"/>
      <c r="S142" s="93"/>
      <c r="T142" s="93"/>
      <c r="U142" s="93"/>
      <c r="V142" s="93"/>
    </row>
    <row r="143" spans="2:34" ht="62.25" customHeight="1" x14ac:dyDescent="0.25">
      <c r="B143" s="15" t="str">
        <f>'4_priedo_1'!B186</f>
        <v>3.2.4</v>
      </c>
      <c r="C143" s="32" t="str">
        <f>'4_priedo_1'!D186</f>
        <v>Uždavinys: Plėtoti kultūros paslaugas ir infrastruktūrą</v>
      </c>
      <c r="D143" s="201"/>
      <c r="E143" s="201"/>
      <c r="F143" s="201"/>
      <c r="G143" s="201"/>
      <c r="H143" s="201"/>
      <c r="I143" s="213"/>
      <c r="J143" s="203"/>
      <c r="K143" s="203"/>
      <c r="L143" s="203"/>
      <c r="M143" s="203"/>
      <c r="N143" s="54"/>
      <c r="O143" s="93"/>
      <c r="P143" s="93"/>
      <c r="Q143" s="101" t="s">
        <v>1283</v>
      </c>
      <c r="R143" s="101" t="s">
        <v>1285</v>
      </c>
      <c r="S143" s="306" t="s">
        <v>1287</v>
      </c>
      <c r="T143" s="93"/>
      <c r="U143" s="93"/>
      <c r="V143" s="93"/>
    </row>
    <row r="144" spans="2:34" ht="60" customHeight="1" x14ac:dyDescent="0.25">
      <c r="B144" s="11"/>
      <c r="C144" s="211"/>
      <c r="D144" s="215"/>
      <c r="E144" s="215" t="s">
        <v>1078</v>
      </c>
      <c r="F144" s="206">
        <v>6</v>
      </c>
      <c r="G144" s="206">
        <v>3</v>
      </c>
      <c r="H144" s="201"/>
      <c r="I144" s="213"/>
      <c r="J144" s="203"/>
      <c r="K144" s="203"/>
      <c r="L144" s="203"/>
      <c r="M144" s="203"/>
      <c r="N144" s="54"/>
      <c r="O144" s="93"/>
      <c r="P144" s="93"/>
      <c r="Q144" s="320" t="s">
        <v>1282</v>
      </c>
      <c r="R144" s="320" t="s">
        <v>1284</v>
      </c>
      <c r="S144" s="320" t="s">
        <v>1286</v>
      </c>
      <c r="T144" s="93"/>
      <c r="U144" s="93"/>
      <c r="V144" s="93"/>
    </row>
    <row r="145" spans="2:23" ht="69" customHeight="1" x14ac:dyDescent="0.25">
      <c r="B145" s="15" t="str">
        <f>'4_priedo_1'!B187</f>
        <v>3.2.4.1</v>
      </c>
      <c r="C145" s="32" t="str">
        <f>'4_priedo_1'!D187</f>
        <v>Priemonė: Modernizuoti savivaldybių kultūros infrastuktūrą</v>
      </c>
      <c r="D145" s="213"/>
      <c r="E145" s="213"/>
      <c r="F145" s="213"/>
      <c r="G145" s="213"/>
      <c r="H145" s="39">
        <f>'4_priedo_1'!H187</f>
        <v>5751536.04</v>
      </c>
      <c r="I145" s="39">
        <f>'4_priedo_1'!I187+'4_priedo_1'!J187</f>
        <v>5366852.66</v>
      </c>
      <c r="J145" s="39">
        <f>'4_priedo_1'!K187</f>
        <v>384683.38000000018</v>
      </c>
      <c r="K145" s="39">
        <f>'4_priedo_1'!P187</f>
        <v>4256300.74</v>
      </c>
      <c r="L145" s="39">
        <f>'4_priedo_1'!Q187+'4_priedo_1'!R187</f>
        <v>3602079.77</v>
      </c>
      <c r="M145" s="39">
        <f>'4_priedo_1'!S187</f>
        <v>654220.9700000002</v>
      </c>
      <c r="N145" s="54"/>
      <c r="O145" s="93"/>
      <c r="P145" s="93"/>
      <c r="Q145" s="93"/>
      <c r="R145" s="93"/>
      <c r="S145" s="93"/>
      <c r="T145" s="93"/>
      <c r="U145" s="93"/>
      <c r="V145" s="93"/>
    </row>
    <row r="146" spans="2:23" ht="71.25" customHeight="1" x14ac:dyDescent="0.25">
      <c r="B146" s="213"/>
      <c r="C146" s="213"/>
      <c r="D146" s="303" t="str">
        <f>'4_priedo_2'!G188</f>
        <v>P.N.304</v>
      </c>
      <c r="E146" s="303" t="str">
        <f>'4_priedo_2'!H188</f>
        <v>Modernizuoti kultūros infrastruktūros objektai, skaičius</v>
      </c>
      <c r="F146" s="39">
        <f>SUM('4_priedo_2'!I188:'4_priedo_2'!I193)</f>
        <v>6</v>
      </c>
      <c r="G146" s="39">
        <f>SUM('4_priedo_2'!K188:'4_priedo_2'!K193)</f>
        <v>3</v>
      </c>
      <c r="H146" s="213"/>
      <c r="I146" s="213"/>
      <c r="J146" s="213"/>
      <c r="K146" s="213"/>
      <c r="L146" s="213"/>
      <c r="M146" s="213"/>
      <c r="N146" s="54"/>
      <c r="O146" s="93"/>
      <c r="P146" s="93"/>
      <c r="Q146" s="93"/>
      <c r="R146" s="93"/>
      <c r="S146" s="93"/>
      <c r="T146" s="93"/>
      <c r="U146" s="93"/>
      <c r="V146" s="93"/>
    </row>
    <row r="147" spans="2:23" ht="69" customHeight="1" x14ac:dyDescent="0.25">
      <c r="B147" s="15" t="str">
        <f>'4_priedo_1'!B194</f>
        <v>3.2.5</v>
      </c>
      <c r="C147" s="32" t="str">
        <f>'4_priedo_1'!D194</f>
        <v>Uždavinys: Gerinti viešąjį valdymą</v>
      </c>
      <c r="D147" s="213"/>
      <c r="E147" s="213"/>
      <c r="F147" s="213"/>
      <c r="G147" s="213"/>
      <c r="H147" s="213"/>
      <c r="I147" s="213"/>
      <c r="J147" s="213"/>
      <c r="K147" s="213"/>
      <c r="L147" s="213"/>
      <c r="M147" s="213"/>
      <c r="N147" s="54"/>
      <c r="O147" s="101"/>
      <c r="P147" s="101"/>
      <c r="Q147" s="101" t="s">
        <v>1276</v>
      </c>
      <c r="R147" s="101" t="s">
        <v>1277</v>
      </c>
      <c r="S147" s="101" t="s">
        <v>1278</v>
      </c>
      <c r="T147" s="319" t="s">
        <v>1279</v>
      </c>
      <c r="U147" s="319" t="s">
        <v>1280</v>
      </c>
      <c r="V147" s="319" t="s">
        <v>1281</v>
      </c>
      <c r="W147" s="44"/>
    </row>
    <row r="148" spans="2:23" ht="132" customHeight="1" x14ac:dyDescent="0.25">
      <c r="B148" s="213"/>
      <c r="C148" s="213"/>
      <c r="D148" s="303"/>
      <c r="E148" s="303" t="s">
        <v>1079</v>
      </c>
      <c r="F148" s="39">
        <v>54</v>
      </c>
      <c r="G148" s="318">
        <f>P148</f>
        <v>78.821666666666658</v>
      </c>
      <c r="H148" s="213"/>
      <c r="I148" s="213"/>
      <c r="J148" s="213"/>
      <c r="K148" s="213"/>
      <c r="L148" s="213"/>
      <c r="M148" s="213"/>
      <c r="N148" s="54"/>
      <c r="O148" s="101">
        <f>Q148+R148+S148+T148+U148+V148</f>
        <v>472.92999999999995</v>
      </c>
      <c r="P148" s="101">
        <f>O148/6</f>
        <v>78.821666666666658</v>
      </c>
      <c r="Q148" s="101">
        <f>50.97+2.25+6.55+9.38+11.32</f>
        <v>80.47</v>
      </c>
      <c r="R148" s="101">
        <f>54.83+2.84+4.96+13.64+16.2</f>
        <v>92.470000000000013</v>
      </c>
      <c r="S148" s="101">
        <f>49.69+2.14+4.85+10.19+10.97</f>
        <v>77.84</v>
      </c>
      <c r="T148" s="101">
        <f>51.24+1.92+4.37+6.54+8.8</f>
        <v>72.87</v>
      </c>
      <c r="U148" s="101">
        <f>47.62+1.91+3.83+4.42+4.8</f>
        <v>62.579999999999991</v>
      </c>
      <c r="V148" s="101">
        <f>53.28+2.42+6.29+11.28+13.43</f>
        <v>86.699999999999989</v>
      </c>
      <c r="W148" s="44"/>
    </row>
    <row r="149" spans="2:23" ht="91.5" customHeight="1" x14ac:dyDescent="0.25">
      <c r="B149" s="15" t="str">
        <f>'4_priedo_1'!B195</f>
        <v>3.2.5.1</v>
      </c>
      <c r="C149" s="32" t="str">
        <f>'4_priedo_1'!D195</f>
        <v>Priemonė: Paslaugų ir asmenų aptarnavimo kokybės gerinimas savivaldybėse</v>
      </c>
      <c r="D149" s="213"/>
      <c r="E149" s="213"/>
      <c r="F149" s="213"/>
      <c r="G149" s="213"/>
      <c r="H149" s="39">
        <f>'4_priedo_1'!H195</f>
        <v>1120076.0899999999</v>
      </c>
      <c r="I149" s="39">
        <f>'4_priedo_1'!I195+'4_priedo_1'!J195</f>
        <v>951990.67999999993</v>
      </c>
      <c r="J149" s="39">
        <f>'4_priedo_1'!K195</f>
        <v>168085.40999999997</v>
      </c>
      <c r="K149" s="39">
        <f>'4_priedo_1'!P195</f>
        <v>554433.88</v>
      </c>
      <c r="L149" s="39">
        <f>'4_priedo_1'!Q195+'4_priedo_1'!R195</f>
        <v>482698.95000000007</v>
      </c>
      <c r="M149" s="39">
        <f>'4_priedo_1'!S195</f>
        <v>71734.930000000022</v>
      </c>
      <c r="N149" s="54"/>
      <c r="O149" s="93"/>
      <c r="P149" s="93"/>
      <c r="Q149" s="93"/>
      <c r="R149" s="93"/>
      <c r="S149" s="93"/>
      <c r="T149" s="93"/>
      <c r="U149" s="93"/>
      <c r="V149" s="93"/>
    </row>
    <row r="150" spans="2:23" ht="168" customHeight="1" x14ac:dyDescent="0.25">
      <c r="B150" s="213"/>
      <c r="C150" s="213"/>
      <c r="D150" s="303" t="str">
        <f>'4_priedo_2'!G196</f>
        <v>P.S.415</v>
      </c>
      <c r="E150" s="303" t="str">
        <f>'4_priedo_2'!H196</f>
        <v>Viešojo valdymo institucijos, pagal veiksmų programą ESF lėšomis įgyvendinusios paslaugų ir (ar) aptarnavimo kokybei gerinti skirtas priemones</v>
      </c>
      <c r="F150" s="39">
        <f>SUM('4_priedo_2'!I196:'4_priedo_2'!I202)</f>
        <v>32</v>
      </c>
      <c r="G150" s="39">
        <f>SUM('4_priedo_2'!K196:'4_priedo_2'!K202)</f>
        <v>3</v>
      </c>
      <c r="H150" s="213"/>
      <c r="I150" s="213"/>
      <c r="J150" s="213"/>
      <c r="K150" s="213"/>
      <c r="L150" s="213"/>
      <c r="M150" s="213"/>
      <c r="N150" s="54"/>
      <c r="O150" s="93"/>
      <c r="P150" s="93"/>
      <c r="Q150" s="93"/>
      <c r="R150" s="93"/>
      <c r="S150" s="93"/>
      <c r="T150" s="93"/>
      <c r="U150" s="93"/>
      <c r="V150" s="93"/>
    </row>
    <row r="151" spans="2:23" ht="272.25" customHeight="1" x14ac:dyDescent="0.25">
      <c r="B151" s="11"/>
      <c r="C151" s="211"/>
      <c r="D151" s="215" t="str">
        <f>'4_priedo_2'!L196</f>
        <v>P.S.416</v>
      </c>
      <c r="E151" s="215" t="str">
        <f>'4_priedo_2'!M196</f>
        <v>Viešojo valdymo institucijų darbuotojai, kurie dalyvavo pagal veiksmų programą ESF lėšomis vykdytose veiklose, skirtose stiprinti teikiamų paslaugų ir (ar) aptarnavimo kokybės gerinimu reikalingas kompetencijas</v>
      </c>
      <c r="F151" s="206">
        <f>SUM('4_priedo_2'!N196:'4_priedo_2'!N202)</f>
        <v>296</v>
      </c>
      <c r="G151" s="206">
        <f>SUM('4_priedo_2'!P196:'4_priedo_2'!P202)</f>
        <v>298</v>
      </c>
      <c r="H151" s="201"/>
      <c r="I151" s="213"/>
      <c r="J151" s="203"/>
      <c r="K151" s="203"/>
      <c r="L151" s="203"/>
      <c r="M151" s="203"/>
      <c r="N151" s="54"/>
      <c r="O151" s="93"/>
      <c r="P151" s="93"/>
      <c r="Q151" s="93"/>
      <c r="R151" s="93"/>
      <c r="S151" s="93"/>
      <c r="T151" s="93"/>
      <c r="U151" s="93"/>
      <c r="V151" s="93"/>
    </row>
    <row r="152" spans="2:23" ht="75.75" customHeight="1" x14ac:dyDescent="0.25">
      <c r="B152" s="11"/>
      <c r="C152" s="211"/>
      <c r="D152" s="215" t="str">
        <f>'4_priedo_2'!Q196</f>
        <v>P.N.910</v>
      </c>
      <c r="E152" s="215" t="str">
        <f>'4_priedo_2'!R196</f>
        <v>Parengtos piliečių chartijos</v>
      </c>
      <c r="F152" s="206">
        <f>'4_priedo_2'!S196+'4_priedo_2'!S198+'4_priedo_2'!S200+'4_priedo_2'!S201</f>
        <v>4</v>
      </c>
      <c r="G152" s="206">
        <f>'4_priedo_2'!U196+'4_priedo_2'!U198+'4_priedo_2'!U200+'4_priedo_2'!U201</f>
        <v>1</v>
      </c>
      <c r="H152" s="201"/>
      <c r="I152" s="213"/>
      <c r="J152" s="203"/>
      <c r="K152" s="203"/>
      <c r="L152" s="203"/>
      <c r="M152" s="203"/>
      <c r="N152" s="54"/>
      <c r="O152" s="93"/>
      <c r="P152" s="93"/>
      <c r="Q152" s="93"/>
      <c r="R152" s="93"/>
      <c r="S152" s="93"/>
      <c r="T152" s="93"/>
      <c r="U152" s="93"/>
      <c r="V152" s="93"/>
    </row>
    <row r="153" spans="2:23" ht="75.75" customHeight="1" x14ac:dyDescent="0.25">
      <c r="B153" s="11"/>
      <c r="C153" s="211"/>
      <c r="D153" s="215"/>
      <c r="E153" s="215"/>
      <c r="F153" s="206"/>
      <c r="G153" s="206"/>
      <c r="H153" s="201"/>
      <c r="I153" s="213"/>
      <c r="J153" s="203"/>
      <c r="K153" s="203"/>
      <c r="L153" s="203"/>
      <c r="M153" s="203"/>
      <c r="N153" s="54"/>
      <c r="O153" s="93"/>
      <c r="P153" s="93"/>
      <c r="Q153" s="93"/>
      <c r="R153" s="93"/>
      <c r="S153" s="93"/>
      <c r="T153" s="93"/>
      <c r="U153" s="93"/>
      <c r="V153" s="93"/>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User</cp:lastModifiedBy>
  <cp:lastPrinted>2020-04-20T09:47:32Z</cp:lastPrinted>
  <dcterms:created xsi:type="dcterms:W3CDTF">2017-11-23T09:10:18Z</dcterms:created>
  <dcterms:modified xsi:type="dcterms:W3CDTF">2020-04-24T10:49:07Z</dcterms:modified>
</cp:coreProperties>
</file>