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09259\Desktop\lietuvosregionai\Utena\2018-07-12\"/>
    </mc:Choice>
  </mc:AlternateContent>
  <bookViews>
    <workbookView xWindow="0" yWindow="0" windowWidth="24270" windowHeight="11970" activeTab="8"/>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lentelė'!$A$6:$V$185</definedName>
    <definedName name="_xlnm._FilterDatabase" localSheetId="2" hidden="1">'3 lentelė'!$B$5:$Z$184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8" l="1"/>
  <c r="F37" i="7" l="1"/>
  <c r="F36" i="7"/>
  <c r="I14" i="8" l="1"/>
  <c r="O24" i="1"/>
  <c r="N24" i="1"/>
  <c r="O101" i="1" l="1"/>
  <c r="N101" i="1"/>
  <c r="M45" i="1" l="1"/>
  <c r="L45" i="1"/>
  <c r="K60" i="8" l="1"/>
  <c r="K59" i="8"/>
  <c r="M141" i="1"/>
  <c r="S141" i="1" s="1"/>
  <c r="L141" i="1"/>
  <c r="R141" i="1" s="1"/>
  <c r="L141" i="2"/>
  <c r="L60" i="8" l="1"/>
  <c r="J60" i="8"/>
  <c r="J60" i="10" s="1"/>
  <c r="K60" i="10" s="1"/>
  <c r="L60" i="10" s="1"/>
  <c r="M60" i="10" s="1"/>
  <c r="N60" i="10" s="1"/>
  <c r="L59" i="8"/>
  <c r="J59" i="8"/>
  <c r="J59" i="10" s="1"/>
  <c r="K59" i="10" s="1"/>
  <c r="L59" i="10" s="1"/>
  <c r="M59" i="10" s="1"/>
  <c r="N59" i="10" s="1"/>
  <c r="F34" i="7"/>
  <c r="AD63" i="3"/>
  <c r="AC63" i="3"/>
  <c r="AB63" i="3"/>
  <c r="AA63" i="3"/>
  <c r="Z63" i="3"/>
  <c r="AD62" i="3"/>
  <c r="AC62" i="3"/>
  <c r="AA62" i="3"/>
  <c r="AB62" i="3"/>
  <c r="Z62" i="3"/>
  <c r="AE63" i="3" l="1"/>
  <c r="D56" i="4" s="1"/>
  <c r="AE62" i="3"/>
  <c r="D55" i="4" s="1"/>
  <c r="P133" i="1"/>
  <c r="Q133" i="1"/>
  <c r="J28" i="5" s="1"/>
  <c r="R140" i="1"/>
  <c r="M140" i="1"/>
  <c r="S140" i="1" s="1"/>
  <c r="L140" i="1"/>
  <c r="R139" i="1" l="1"/>
  <c r="O139" i="1"/>
  <c r="S139" i="1" s="1"/>
  <c r="N139" i="1"/>
  <c r="O138" i="1" l="1"/>
  <c r="S138" i="1" s="1"/>
  <c r="N138" i="1"/>
  <c r="R138" i="1" s="1"/>
  <c r="M137" i="1" l="1"/>
  <c r="S137" i="1" s="1"/>
  <c r="L137" i="1"/>
  <c r="R137" i="1" s="1"/>
  <c r="M136" i="1" l="1"/>
  <c r="S136" i="1" s="1"/>
  <c r="L136" i="1"/>
  <c r="R136" i="1" s="1"/>
  <c r="O135" i="1" l="1"/>
  <c r="N135" i="1"/>
  <c r="S135" i="1" l="1"/>
  <c r="O133" i="1"/>
  <c r="I28" i="5" s="1"/>
  <c r="R135" i="1"/>
  <c r="N133" i="1"/>
  <c r="M134" i="1"/>
  <c r="L134" i="1"/>
  <c r="S134" i="1" l="1"/>
  <c r="S133" i="1" s="1"/>
  <c r="M133" i="1"/>
  <c r="H28" i="5" s="1"/>
  <c r="R134" i="1"/>
  <c r="R133" i="1" s="1"/>
  <c r="L133" i="1"/>
  <c r="O51" i="1"/>
  <c r="S51" i="1" s="1"/>
  <c r="N51" i="1"/>
  <c r="R51" i="1" s="1"/>
  <c r="O46" i="1" l="1"/>
  <c r="N46" i="1"/>
  <c r="M19" i="8" l="1"/>
  <c r="M17" i="8"/>
  <c r="K20" i="8"/>
  <c r="K19" i="8"/>
  <c r="K17" i="8"/>
  <c r="F14" i="7" l="1"/>
  <c r="L78" i="1"/>
  <c r="M78" i="1"/>
  <c r="N78" i="1"/>
  <c r="O78" i="1"/>
  <c r="P78" i="1"/>
  <c r="Q78" i="1"/>
  <c r="R88" i="1"/>
  <c r="S88" i="1"/>
  <c r="K40" i="8" l="1"/>
  <c r="K18" i="8"/>
  <c r="J17" i="8"/>
  <c r="F13" i="7"/>
  <c r="R85" i="1" l="1"/>
  <c r="S85" i="1"/>
  <c r="R86" i="1"/>
  <c r="S86" i="1"/>
  <c r="R87" i="1"/>
  <c r="S87" i="1"/>
  <c r="O186" i="1" l="1"/>
  <c r="N186" i="1"/>
  <c r="M185" i="1"/>
  <c r="L185" i="1"/>
  <c r="M184" i="1"/>
  <c r="L184" i="1"/>
  <c r="M183" i="1"/>
  <c r="L183" i="1"/>
  <c r="K182" i="1"/>
  <c r="J182" i="1"/>
  <c r="M181" i="1"/>
  <c r="L181" i="1"/>
  <c r="K180" i="1"/>
  <c r="J180" i="1"/>
  <c r="K177" i="1"/>
  <c r="J177" i="1"/>
  <c r="K176" i="1"/>
  <c r="J176" i="1"/>
  <c r="K175" i="1"/>
  <c r="J175" i="1"/>
  <c r="K174" i="1"/>
  <c r="J174" i="1"/>
  <c r="K173" i="1"/>
  <c r="J173" i="1"/>
  <c r="K172" i="1"/>
  <c r="J172" i="1"/>
  <c r="I169" i="1"/>
  <c r="H169" i="1"/>
  <c r="I168" i="1"/>
  <c r="H168" i="1"/>
  <c r="I167" i="1"/>
  <c r="H167" i="1"/>
  <c r="I166" i="1"/>
  <c r="H166" i="1"/>
  <c r="I165" i="1"/>
  <c r="H165" i="1"/>
  <c r="K164" i="1"/>
  <c r="J164" i="1"/>
  <c r="M162" i="1"/>
  <c r="L162" i="1"/>
  <c r="K161" i="1"/>
  <c r="J161" i="1"/>
  <c r="M160" i="1"/>
  <c r="L160" i="1"/>
  <c r="M159" i="1"/>
  <c r="L159" i="1"/>
  <c r="M156" i="1"/>
  <c r="L156" i="1"/>
  <c r="M155" i="1"/>
  <c r="L155" i="1"/>
  <c r="M154" i="1"/>
  <c r="L154" i="1"/>
  <c r="M153" i="1"/>
  <c r="L153" i="1"/>
  <c r="M152" i="1"/>
  <c r="L152" i="1"/>
  <c r="M151" i="1"/>
  <c r="L151" i="1"/>
  <c r="M148" i="1"/>
  <c r="L148" i="1"/>
  <c r="M147" i="1"/>
  <c r="L147" i="1"/>
  <c r="M146" i="1"/>
  <c r="L146" i="1"/>
  <c r="M145" i="1"/>
  <c r="L145" i="1"/>
  <c r="M144" i="1"/>
  <c r="L144" i="1"/>
  <c r="M143" i="1"/>
  <c r="L143" i="1"/>
  <c r="K130" i="1"/>
  <c r="J130" i="1"/>
  <c r="K129" i="1"/>
  <c r="J129" i="1"/>
  <c r="K126" i="1"/>
  <c r="J126" i="1"/>
  <c r="K125" i="1"/>
  <c r="J125" i="1"/>
  <c r="K124" i="1"/>
  <c r="J124" i="1"/>
  <c r="M122" i="1"/>
  <c r="L122" i="1"/>
  <c r="M121" i="1"/>
  <c r="L121" i="1"/>
  <c r="M114" i="1"/>
  <c r="L114" i="1"/>
  <c r="K98" i="1"/>
  <c r="J98" i="1"/>
  <c r="K97" i="1"/>
  <c r="J97" i="1"/>
  <c r="K96" i="1"/>
  <c r="J96" i="1"/>
  <c r="K95" i="1"/>
  <c r="J95" i="1"/>
  <c r="K94" i="1"/>
  <c r="J94" i="1"/>
  <c r="K93" i="1"/>
  <c r="J93" i="1"/>
  <c r="K91" i="1"/>
  <c r="J91" i="1"/>
  <c r="K90" i="1"/>
  <c r="J90" i="1"/>
  <c r="K75" i="1"/>
  <c r="J75" i="1"/>
  <c r="K72" i="1"/>
  <c r="J72" i="1"/>
  <c r="K71" i="1"/>
  <c r="J71" i="1"/>
  <c r="K70" i="1"/>
  <c r="J70" i="1"/>
  <c r="K69" i="1"/>
  <c r="J69" i="1"/>
  <c r="M64" i="1"/>
  <c r="L64" i="1"/>
  <c r="K60" i="1"/>
  <c r="J60" i="1"/>
  <c r="K59" i="1"/>
  <c r="J59" i="1"/>
  <c r="K58" i="1"/>
  <c r="J58" i="1"/>
  <c r="K56" i="1"/>
  <c r="J56" i="1"/>
  <c r="I57" i="1"/>
  <c r="H57" i="1"/>
  <c r="M54" i="1"/>
  <c r="S54" i="1" s="1"/>
  <c r="L54" i="1"/>
  <c r="R54" i="1" s="1"/>
  <c r="M53" i="1"/>
  <c r="S53" i="1" s="1"/>
  <c r="L53" i="1"/>
  <c r="R53" i="1" s="1"/>
  <c r="M52" i="1"/>
  <c r="S52" i="1" s="1"/>
  <c r="L52" i="1"/>
  <c r="R52" i="1" s="1"/>
  <c r="M48" i="1"/>
  <c r="L48" i="1"/>
  <c r="M47" i="1"/>
  <c r="L47" i="1"/>
  <c r="L42" i="1"/>
  <c r="M41" i="1"/>
  <c r="L41" i="1"/>
  <c r="K44" i="1"/>
  <c r="J44" i="1"/>
  <c r="K43" i="1"/>
  <c r="J43" i="1"/>
  <c r="K34" i="1" l="1"/>
  <c r="J34" i="1"/>
  <c r="K29" i="1"/>
  <c r="J29" i="1"/>
  <c r="I31" i="1"/>
  <c r="H31" i="1"/>
  <c r="I30" i="1"/>
  <c r="H30" i="1"/>
  <c r="M20" i="1"/>
  <c r="I18" i="1"/>
  <c r="O17" i="1"/>
  <c r="N17" i="1"/>
  <c r="M26" i="1"/>
  <c r="L26" i="1"/>
  <c r="M22" i="1"/>
  <c r="L22" i="1"/>
  <c r="L20" i="1"/>
  <c r="M19" i="1"/>
  <c r="L19" i="1"/>
  <c r="M14" i="1"/>
  <c r="L14" i="1"/>
  <c r="K27" i="1"/>
  <c r="J27" i="1"/>
  <c r="K25" i="1"/>
  <c r="J25" i="1"/>
  <c r="K23" i="1"/>
  <c r="J23" i="1"/>
  <c r="K21" i="1"/>
  <c r="J21" i="1"/>
  <c r="K16" i="1"/>
  <c r="J16" i="1"/>
  <c r="K15" i="1"/>
  <c r="J15" i="1"/>
  <c r="H18" i="1"/>
  <c r="I83" i="1" l="1"/>
  <c r="H83" i="1"/>
  <c r="I82" i="1"/>
  <c r="H82" i="1"/>
  <c r="I81" i="1"/>
  <c r="H81" i="1"/>
  <c r="I79" i="1"/>
  <c r="H79" i="1"/>
  <c r="O110" i="1"/>
  <c r="N110" i="1"/>
  <c r="O108" i="1"/>
  <c r="N108" i="1"/>
  <c r="O107" i="1"/>
  <c r="N107" i="1"/>
  <c r="M109" i="1"/>
  <c r="L109" i="1"/>
  <c r="M106" i="1"/>
  <c r="L106" i="1"/>
  <c r="K104" i="1"/>
  <c r="J104" i="1"/>
  <c r="K103" i="1"/>
  <c r="J103" i="1"/>
  <c r="K102" i="1"/>
  <c r="J102" i="1"/>
  <c r="I105" i="1"/>
  <c r="H105" i="1" l="1"/>
  <c r="J20" i="8" l="1"/>
  <c r="J19" i="8"/>
  <c r="J18" i="8"/>
  <c r="J40" i="8"/>
  <c r="I40" i="8"/>
  <c r="E65" i="1" l="1"/>
  <c r="F65" i="1"/>
  <c r="D65" i="1"/>
  <c r="E10" i="1"/>
  <c r="F10" i="1"/>
  <c r="D10" i="1"/>
  <c r="I84" i="1"/>
  <c r="I78" i="1" s="1"/>
  <c r="H84" i="1"/>
  <c r="H78" i="1" s="1"/>
  <c r="K80" i="1"/>
  <c r="K78" i="1" s="1"/>
  <c r="J80" i="1"/>
  <c r="J78"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1" i="3"/>
  <c r="AC61" i="3"/>
  <c r="AB61" i="3"/>
  <c r="AA61" i="3"/>
  <c r="Z61" i="3"/>
  <c r="AE61" i="3" l="1"/>
  <c r="D54" i="4" s="1"/>
  <c r="F57" i="7"/>
  <c r="F56" i="7"/>
  <c r="F54" i="7"/>
  <c r="F51" i="7"/>
  <c r="F49" i="7"/>
  <c r="F45" i="7"/>
  <c r="F43" i="7"/>
  <c r="F41" i="7"/>
  <c r="F40" i="7"/>
  <c r="F39" i="7"/>
  <c r="F38" i="7"/>
  <c r="F12" i="7"/>
  <c r="F15" i="7"/>
  <c r="F17" i="7"/>
  <c r="F19" i="7"/>
  <c r="F18" i="7"/>
  <c r="F26" i="7"/>
  <c r="F29" i="7"/>
  <c r="F30" i="7"/>
  <c r="F31" i="7"/>
  <c r="F32" i="7"/>
  <c r="F33" i="7"/>
  <c r="F35" i="7"/>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52" i="3"/>
  <c r="AC52" i="3"/>
  <c r="AB52" i="3"/>
  <c r="AA52" i="3"/>
  <c r="Z52" i="3"/>
  <c r="AD51" i="3"/>
  <c r="AC51" i="3"/>
  <c r="AB51" i="3"/>
  <c r="AA51" i="3"/>
  <c r="Z51" i="3"/>
  <c r="AD50" i="3"/>
  <c r="AC50" i="3"/>
  <c r="AB50" i="3"/>
  <c r="AA50" i="3"/>
  <c r="Z50" i="3"/>
  <c r="AD49" i="3"/>
  <c r="AC49" i="3"/>
  <c r="AB49" i="3"/>
  <c r="AA49" i="3"/>
  <c r="Z49" i="3"/>
  <c r="AD48" i="3"/>
  <c r="AC48" i="3"/>
  <c r="AB48" i="3"/>
  <c r="AA48" i="3"/>
  <c r="Z48"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4" i="3" l="1"/>
  <c r="D47" i="4" s="1"/>
  <c r="AE60" i="3"/>
  <c r="AE59" i="3"/>
  <c r="D52" i="4" s="1"/>
  <c r="AE58" i="3"/>
  <c r="D51" i="4" s="1"/>
  <c r="AE57" i="3"/>
  <c r="D50" i="4" s="1"/>
  <c r="AE56" i="3"/>
  <c r="D49" i="4" s="1"/>
  <c r="AE55" i="3"/>
  <c r="D48" i="4" s="1"/>
  <c r="AE53" i="3"/>
  <c r="D46" i="4" s="1"/>
  <c r="AE52" i="3"/>
  <c r="D45" i="4" s="1"/>
  <c r="AE51" i="3"/>
  <c r="D44" i="4" s="1"/>
  <c r="AE50" i="3"/>
  <c r="D43" i="4" s="1"/>
  <c r="AE49" i="3"/>
  <c r="D42" i="4" s="1"/>
  <c r="AE48"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3"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G15" i="5"/>
  <c r="K15" i="5" s="1"/>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77" i="1"/>
  <c r="G76" i="1" s="1"/>
  <c r="G65" i="1" s="1"/>
  <c r="S185" i="1"/>
  <c r="R185" i="1"/>
  <c r="S184" i="1"/>
  <c r="R184" i="1"/>
  <c r="S183" i="1"/>
  <c r="R183" i="1"/>
  <c r="S182" i="1"/>
  <c r="R182" i="1"/>
  <c r="S181" i="1"/>
  <c r="R181" i="1"/>
  <c r="S180" i="1"/>
  <c r="R180" i="1"/>
  <c r="Q179" i="1"/>
  <c r="J34" i="5" s="1"/>
  <c r="P179" i="1"/>
  <c r="P178" i="1" s="1"/>
  <c r="O179" i="1"/>
  <c r="N179" i="1"/>
  <c r="N178" i="1" s="1"/>
  <c r="M179" i="1"/>
  <c r="H34" i="5" s="1"/>
  <c r="L179" i="1"/>
  <c r="L178" i="1" s="1"/>
  <c r="K179" i="1"/>
  <c r="J179" i="1"/>
  <c r="J178" i="1" s="1"/>
  <c r="I179" i="1"/>
  <c r="F34" i="5" s="1"/>
  <c r="H179" i="1"/>
  <c r="H178" i="1" s="1"/>
  <c r="G179" i="1"/>
  <c r="E34" i="5" s="1"/>
  <c r="F179" i="1"/>
  <c r="E179" i="1"/>
  <c r="D34" i="5" s="1"/>
  <c r="D179" i="1"/>
  <c r="S176" i="1"/>
  <c r="R176" i="1"/>
  <c r="S175" i="1"/>
  <c r="R175" i="1"/>
  <c r="S173" i="1"/>
  <c r="R173" i="1"/>
  <c r="S172" i="1"/>
  <c r="R172" i="1"/>
  <c r="Q171" i="1"/>
  <c r="P171" i="1"/>
  <c r="P170" i="1" s="1"/>
  <c r="O171" i="1"/>
  <c r="I33" i="5" s="1"/>
  <c r="N171" i="1"/>
  <c r="N170" i="1" s="1"/>
  <c r="M171" i="1"/>
  <c r="L171" i="1"/>
  <c r="L170" i="1" s="1"/>
  <c r="K171" i="1"/>
  <c r="G33" i="5" s="1"/>
  <c r="J171" i="1"/>
  <c r="J170" i="1" s="1"/>
  <c r="I171" i="1"/>
  <c r="F33" i="5" s="1"/>
  <c r="H171" i="1"/>
  <c r="H170" i="1" s="1"/>
  <c r="S169" i="1"/>
  <c r="R169" i="1"/>
  <c r="S168" i="1"/>
  <c r="R168" i="1"/>
  <c r="S167" i="1"/>
  <c r="R167" i="1"/>
  <c r="S166" i="1"/>
  <c r="R166" i="1"/>
  <c r="S165" i="1"/>
  <c r="R165" i="1"/>
  <c r="S164" i="1"/>
  <c r="R164" i="1"/>
  <c r="Q163" i="1"/>
  <c r="J32" i="5" s="1"/>
  <c r="P163" i="1"/>
  <c r="O163" i="1"/>
  <c r="N163" i="1"/>
  <c r="M163" i="1"/>
  <c r="H32" i="5" s="1"/>
  <c r="L163" i="1"/>
  <c r="K163" i="1"/>
  <c r="J163" i="1"/>
  <c r="I163" i="1"/>
  <c r="F32" i="5" s="1"/>
  <c r="F32" i="6" s="1"/>
  <c r="H163" i="1"/>
  <c r="S160" i="1"/>
  <c r="S161" i="1"/>
  <c r="S162" i="1"/>
  <c r="R160" i="1"/>
  <c r="R161" i="1"/>
  <c r="R162" i="1"/>
  <c r="S159" i="1"/>
  <c r="R159" i="1"/>
  <c r="Q158" i="1"/>
  <c r="J31" i="5" s="1"/>
  <c r="P158" i="1"/>
  <c r="O158" i="1"/>
  <c r="I31" i="5" s="1"/>
  <c r="N158" i="1"/>
  <c r="M158" i="1"/>
  <c r="H31" i="5" s="1"/>
  <c r="L158" i="1"/>
  <c r="K158" i="1"/>
  <c r="G31" i="5" s="1"/>
  <c r="J158" i="1"/>
  <c r="I158" i="1"/>
  <c r="F31" i="5" s="1"/>
  <c r="H158" i="1"/>
  <c r="G158" i="1"/>
  <c r="E31" i="5" s="1"/>
  <c r="F158" i="1"/>
  <c r="E158" i="1"/>
  <c r="D31" i="5" s="1"/>
  <c r="D158" i="1"/>
  <c r="S156" i="1"/>
  <c r="R156" i="1"/>
  <c r="S155" i="1"/>
  <c r="R155" i="1"/>
  <c r="S154" i="1"/>
  <c r="R154" i="1"/>
  <c r="S153" i="1"/>
  <c r="R153" i="1"/>
  <c r="S152" i="1"/>
  <c r="R152" i="1"/>
  <c r="S151" i="1"/>
  <c r="R151" i="1"/>
  <c r="Q150" i="1"/>
  <c r="P150" i="1"/>
  <c r="P149" i="1" s="1"/>
  <c r="O150" i="1"/>
  <c r="I30" i="5" s="1"/>
  <c r="N150" i="1"/>
  <c r="N149" i="1" s="1"/>
  <c r="M150" i="1"/>
  <c r="L150" i="1"/>
  <c r="L149" i="1" s="1"/>
  <c r="K150" i="1"/>
  <c r="G30" i="5" s="1"/>
  <c r="J150" i="1"/>
  <c r="I150" i="1"/>
  <c r="F30" i="5" s="1"/>
  <c r="H150" i="1"/>
  <c r="H149" i="1" s="1"/>
  <c r="G150" i="1"/>
  <c r="E30" i="5" s="1"/>
  <c r="F150" i="1"/>
  <c r="F149" i="1" s="1"/>
  <c r="E150" i="1"/>
  <c r="D30" i="5" s="1"/>
  <c r="D150" i="1"/>
  <c r="D149" i="1" s="1"/>
  <c r="O149" i="1"/>
  <c r="J149" i="1"/>
  <c r="I149" i="1"/>
  <c r="S147" i="1"/>
  <c r="N142" i="1"/>
  <c r="N132" i="1" s="1"/>
  <c r="S146" i="1"/>
  <c r="R146" i="1"/>
  <c r="S145" i="1"/>
  <c r="R145" i="1"/>
  <c r="S144" i="1"/>
  <c r="R144" i="1"/>
  <c r="S143" i="1"/>
  <c r="R143" i="1"/>
  <c r="Q142" i="1"/>
  <c r="J29" i="5" s="1"/>
  <c r="P142" i="1"/>
  <c r="P132" i="1" s="1"/>
  <c r="O142" i="1"/>
  <c r="I29" i="5" s="1"/>
  <c r="M142" i="1"/>
  <c r="H29" i="5" s="1"/>
  <c r="L142" i="1"/>
  <c r="L132" i="1" s="1"/>
  <c r="K142" i="1"/>
  <c r="G29" i="5" s="1"/>
  <c r="J142" i="1"/>
  <c r="J132" i="1" s="1"/>
  <c r="I142" i="1"/>
  <c r="F29" i="5" s="1"/>
  <c r="H142" i="1"/>
  <c r="H132" i="1" s="1"/>
  <c r="G142" i="1"/>
  <c r="E29" i="5" s="1"/>
  <c r="F142" i="1"/>
  <c r="F132" i="1" s="1"/>
  <c r="E142" i="1"/>
  <c r="D29" i="5" s="1"/>
  <c r="D142" i="1"/>
  <c r="D132" i="1" s="1"/>
  <c r="S130" i="1"/>
  <c r="R130" i="1"/>
  <c r="S129" i="1"/>
  <c r="R129" i="1"/>
  <c r="Q128" i="1"/>
  <c r="P128" i="1"/>
  <c r="P127" i="1" s="1"/>
  <c r="O128" i="1"/>
  <c r="I27" i="5" s="1"/>
  <c r="N128" i="1"/>
  <c r="N127" i="1" s="1"/>
  <c r="M128" i="1"/>
  <c r="H27" i="5" s="1"/>
  <c r="L128" i="1"/>
  <c r="L127" i="1" s="1"/>
  <c r="K128" i="1"/>
  <c r="J128" i="1"/>
  <c r="J127" i="1" s="1"/>
  <c r="I128" i="1"/>
  <c r="F27" i="5" s="1"/>
  <c r="H128" i="1"/>
  <c r="H127" i="1" s="1"/>
  <c r="O127" i="1"/>
  <c r="S126" i="1"/>
  <c r="R126" i="1"/>
  <c r="S125" i="1"/>
  <c r="R125" i="1"/>
  <c r="S124" i="1"/>
  <c r="R124" i="1"/>
  <c r="Q123" i="1"/>
  <c r="P123" i="1"/>
  <c r="O123" i="1"/>
  <c r="I26" i="5" s="1"/>
  <c r="N123" i="1"/>
  <c r="M123" i="1"/>
  <c r="H26" i="5" s="1"/>
  <c r="L123" i="1"/>
  <c r="J123" i="1"/>
  <c r="I123" i="1"/>
  <c r="H123" i="1"/>
  <c r="S122" i="1"/>
  <c r="R122" i="1"/>
  <c r="S121" i="1"/>
  <c r="R121" i="1"/>
  <c r="Q120" i="1"/>
  <c r="J25" i="5" s="1"/>
  <c r="P120" i="1"/>
  <c r="O120" i="1"/>
  <c r="N120" i="1"/>
  <c r="M120" i="1"/>
  <c r="H25" i="5" s="1"/>
  <c r="L120" i="1"/>
  <c r="K120" i="1"/>
  <c r="G25" i="5" s="1"/>
  <c r="J120" i="1"/>
  <c r="I120" i="1"/>
  <c r="F25" i="5" s="1"/>
  <c r="F25" i="6" s="1"/>
  <c r="H120" i="1"/>
  <c r="S114" i="1"/>
  <c r="S113" i="1" s="1"/>
  <c r="S112" i="1" s="1"/>
  <c r="S111" i="1" s="1"/>
  <c r="R114" i="1"/>
  <c r="R113" i="1" s="1"/>
  <c r="R112" i="1" s="1"/>
  <c r="R111" i="1" s="1"/>
  <c r="Q113" i="1"/>
  <c r="P113" i="1"/>
  <c r="P112" i="1" s="1"/>
  <c r="P111" i="1" s="1"/>
  <c r="O113" i="1"/>
  <c r="N113" i="1"/>
  <c r="N112" i="1" s="1"/>
  <c r="N111" i="1" s="1"/>
  <c r="M113" i="1"/>
  <c r="L113" i="1"/>
  <c r="L112" i="1" s="1"/>
  <c r="L111" i="1" s="1"/>
  <c r="K113" i="1"/>
  <c r="J113" i="1"/>
  <c r="J112" i="1" s="1"/>
  <c r="J111" i="1" s="1"/>
  <c r="I113" i="1"/>
  <c r="H113" i="1"/>
  <c r="H112" i="1" s="1"/>
  <c r="H111" i="1" s="1"/>
  <c r="S110" i="1"/>
  <c r="R110" i="1"/>
  <c r="S109" i="1"/>
  <c r="R109" i="1"/>
  <c r="S108" i="1"/>
  <c r="R108" i="1"/>
  <c r="S107" i="1"/>
  <c r="R107" i="1"/>
  <c r="S106" i="1"/>
  <c r="R106" i="1"/>
  <c r="S105" i="1"/>
  <c r="R105" i="1"/>
  <c r="S104" i="1"/>
  <c r="R104" i="1"/>
  <c r="S103" i="1"/>
  <c r="R103" i="1"/>
  <c r="S102" i="1"/>
  <c r="R102" i="1"/>
  <c r="S101" i="1"/>
  <c r="R101" i="1"/>
  <c r="Q100" i="1"/>
  <c r="P100" i="1"/>
  <c r="P99" i="1" s="1"/>
  <c r="O100" i="1"/>
  <c r="N100" i="1"/>
  <c r="N99" i="1" s="1"/>
  <c r="M100" i="1"/>
  <c r="L100" i="1"/>
  <c r="L99" i="1" s="1"/>
  <c r="K100" i="1"/>
  <c r="J100" i="1"/>
  <c r="J99" i="1" s="1"/>
  <c r="I100" i="1"/>
  <c r="F23" i="5" s="1"/>
  <c r="H100" i="1"/>
  <c r="H99" i="1" s="1"/>
  <c r="S98" i="1"/>
  <c r="R98" i="1"/>
  <c r="S97" i="1"/>
  <c r="R97" i="1"/>
  <c r="S96" i="1"/>
  <c r="R96" i="1"/>
  <c r="S95" i="1"/>
  <c r="R95" i="1"/>
  <c r="S94" i="1"/>
  <c r="R94" i="1"/>
  <c r="S93" i="1"/>
  <c r="R93" i="1"/>
  <c r="Q92" i="1"/>
  <c r="J22" i="5" s="1"/>
  <c r="P92" i="1"/>
  <c r="O92" i="1"/>
  <c r="I22" i="5" s="1"/>
  <c r="N92" i="1"/>
  <c r="M92" i="1"/>
  <c r="H22" i="5" s="1"/>
  <c r="L92" i="1"/>
  <c r="K92" i="1"/>
  <c r="G22" i="5" s="1"/>
  <c r="J92" i="1"/>
  <c r="I92" i="1"/>
  <c r="F22" i="5" s="1"/>
  <c r="H92" i="1"/>
  <c r="S91" i="1"/>
  <c r="R91" i="1"/>
  <c r="S90" i="1"/>
  <c r="R90" i="1"/>
  <c r="Q89" i="1"/>
  <c r="J21" i="5" s="1"/>
  <c r="P89" i="1"/>
  <c r="O89" i="1"/>
  <c r="I21" i="5" s="1"/>
  <c r="N89" i="1"/>
  <c r="M89" i="1"/>
  <c r="H21" i="5" s="1"/>
  <c r="L89" i="1"/>
  <c r="K89" i="1"/>
  <c r="G21" i="5" s="1"/>
  <c r="J89" i="1"/>
  <c r="I89" i="1"/>
  <c r="F21" i="5" s="1"/>
  <c r="H89" i="1"/>
  <c r="S84" i="1"/>
  <c r="R84" i="1"/>
  <c r="S83" i="1"/>
  <c r="R83" i="1"/>
  <c r="S82" i="1"/>
  <c r="R82" i="1"/>
  <c r="S81" i="1"/>
  <c r="R81" i="1"/>
  <c r="S80" i="1"/>
  <c r="R80" i="1"/>
  <c r="S79" i="1"/>
  <c r="R79" i="1"/>
  <c r="J20" i="5"/>
  <c r="I20" i="5"/>
  <c r="H20" i="5"/>
  <c r="G20" i="5"/>
  <c r="F20" i="5"/>
  <c r="S75" i="1"/>
  <c r="S74" i="1" s="1"/>
  <c r="S73" i="1" s="1"/>
  <c r="R75" i="1"/>
  <c r="R74" i="1" s="1"/>
  <c r="R73" i="1" s="1"/>
  <c r="Q74" i="1"/>
  <c r="Q73" i="1" s="1"/>
  <c r="P74" i="1"/>
  <c r="P73" i="1" s="1"/>
  <c r="O74" i="1"/>
  <c r="I19" i="5" s="1"/>
  <c r="N74" i="1"/>
  <c r="N73" i="1" s="1"/>
  <c r="M74" i="1"/>
  <c r="L74" i="1"/>
  <c r="L73" i="1" s="1"/>
  <c r="K74" i="1"/>
  <c r="G19" i="5" s="1"/>
  <c r="J74" i="1"/>
  <c r="J73" i="1" s="1"/>
  <c r="I74" i="1"/>
  <c r="F19" i="5" s="1"/>
  <c r="H74" i="1"/>
  <c r="H73" i="1" s="1"/>
  <c r="G74" i="1"/>
  <c r="E19" i="5" s="1"/>
  <c r="F74" i="1"/>
  <c r="E74" i="1"/>
  <c r="D19" i="5" s="1"/>
  <c r="D19" i="6" s="1"/>
  <c r="D74" i="1"/>
  <c r="O73" i="1"/>
  <c r="S72" i="1"/>
  <c r="R72" i="1"/>
  <c r="S71" i="1"/>
  <c r="R71" i="1"/>
  <c r="S70" i="1"/>
  <c r="R70" i="1"/>
  <c r="S69" i="1"/>
  <c r="R69" i="1"/>
  <c r="Q68" i="1"/>
  <c r="J18" i="5" s="1"/>
  <c r="P68" i="1"/>
  <c r="P67" i="1" s="1"/>
  <c r="O68" i="1"/>
  <c r="I18" i="5" s="1"/>
  <c r="N68" i="1"/>
  <c r="N67" i="1" s="1"/>
  <c r="M68" i="1"/>
  <c r="L68" i="1"/>
  <c r="L67" i="1" s="1"/>
  <c r="K68" i="1"/>
  <c r="G18" i="5" s="1"/>
  <c r="J68" i="1"/>
  <c r="J67" i="1" s="1"/>
  <c r="I68" i="1"/>
  <c r="F18" i="5" s="1"/>
  <c r="F18" i="6" s="1"/>
  <c r="H68" i="1"/>
  <c r="H67" i="1" s="1"/>
  <c r="S64" i="1"/>
  <c r="R64" i="1"/>
  <c r="Q61" i="1"/>
  <c r="J17" i="5" s="1"/>
  <c r="P61" i="1"/>
  <c r="O61" i="1"/>
  <c r="I17" i="5" s="1"/>
  <c r="N61" i="1"/>
  <c r="M61" i="1"/>
  <c r="H17" i="5" s="1"/>
  <c r="L61" i="1"/>
  <c r="K61" i="1"/>
  <c r="G17" i="5" s="1"/>
  <c r="J61" i="1"/>
  <c r="I61" i="1"/>
  <c r="F17" i="5" s="1"/>
  <c r="H61" i="1"/>
  <c r="G61" i="1"/>
  <c r="E17" i="5" s="1"/>
  <c r="F61" i="1"/>
  <c r="E61" i="1"/>
  <c r="D17" i="5" s="1"/>
  <c r="D17" i="6" s="1"/>
  <c r="D61" i="1"/>
  <c r="S60" i="1"/>
  <c r="R60" i="1"/>
  <c r="S59" i="1"/>
  <c r="R59" i="1"/>
  <c r="S58" i="1"/>
  <c r="R58" i="1"/>
  <c r="S57" i="1"/>
  <c r="R57" i="1"/>
  <c r="S56" i="1"/>
  <c r="R56" i="1"/>
  <c r="Q55" i="1"/>
  <c r="P55" i="1"/>
  <c r="O55" i="1"/>
  <c r="N55" i="1"/>
  <c r="M55" i="1"/>
  <c r="L55" i="1"/>
  <c r="K55" i="1"/>
  <c r="J55" i="1"/>
  <c r="I55" i="1"/>
  <c r="H55" i="1"/>
  <c r="G55" i="1"/>
  <c r="F55" i="1"/>
  <c r="E55" i="1"/>
  <c r="D55" i="1"/>
  <c r="S50" i="1"/>
  <c r="R50" i="1"/>
  <c r="Q50" i="1"/>
  <c r="J14" i="5" s="1"/>
  <c r="P50" i="1"/>
  <c r="O50" i="1"/>
  <c r="I14" i="5" s="1"/>
  <c r="N50" i="1"/>
  <c r="M50" i="1"/>
  <c r="H14" i="5" s="1"/>
  <c r="L50" i="1"/>
  <c r="K50" i="1"/>
  <c r="G14" i="5" s="1"/>
  <c r="J50" i="1"/>
  <c r="I50" i="1"/>
  <c r="F14" i="5" s="1"/>
  <c r="H50" i="1"/>
  <c r="R78" i="1" l="1"/>
  <c r="S78" i="1"/>
  <c r="J49" i="1"/>
  <c r="H49" i="1"/>
  <c r="P66" i="1"/>
  <c r="O67" i="1"/>
  <c r="O66" i="1" s="1"/>
  <c r="G18" i="6"/>
  <c r="E19" i="6"/>
  <c r="F19" i="6" s="1"/>
  <c r="G19" i="6" s="1"/>
  <c r="K67" i="1"/>
  <c r="K73" i="1"/>
  <c r="G49" i="1"/>
  <c r="G38" i="1" s="1"/>
  <c r="K22" i="5"/>
  <c r="H119" i="1"/>
  <c r="H118" i="1" s="1"/>
  <c r="D131" i="1"/>
  <c r="D117" i="1" s="1"/>
  <c r="D190" i="1" s="1"/>
  <c r="L157" i="1"/>
  <c r="L131" i="1" s="1"/>
  <c r="P157" i="1"/>
  <c r="P131" i="1" s="1"/>
  <c r="R163" i="1"/>
  <c r="L77" i="1"/>
  <c r="L76" i="1" s="1"/>
  <c r="H77" i="1"/>
  <c r="H76" i="1" s="1"/>
  <c r="P77" i="1"/>
  <c r="P76" i="1" s="1"/>
  <c r="R89" i="1"/>
  <c r="S120" i="1"/>
  <c r="M127" i="1"/>
  <c r="K132" i="1"/>
  <c r="I170" i="1"/>
  <c r="I178" i="1"/>
  <c r="S179" i="1"/>
  <c r="S178" i="1" s="1"/>
  <c r="E149" i="1"/>
  <c r="J77" i="1"/>
  <c r="J76" i="1" s="1"/>
  <c r="N77" i="1"/>
  <c r="N76" i="1" s="1"/>
  <c r="R128" i="1"/>
  <c r="R127" i="1" s="1"/>
  <c r="M178" i="1"/>
  <c r="F131" i="1"/>
  <c r="F117" i="1" s="1"/>
  <c r="F190" i="1" s="1"/>
  <c r="K119" i="1"/>
  <c r="G132" i="1"/>
  <c r="J119" i="1"/>
  <c r="J118" i="1" s="1"/>
  <c r="O170" i="1"/>
  <c r="R171" i="1"/>
  <c r="R170" i="1" s="1"/>
  <c r="Q178" i="1"/>
  <c r="O132" i="1"/>
  <c r="Q32" i="1"/>
  <c r="M32" i="1"/>
  <c r="N49" i="1"/>
  <c r="I32" i="1"/>
  <c r="P49" i="1"/>
  <c r="I49" i="1"/>
  <c r="K12" i="5"/>
  <c r="K21" i="5"/>
  <c r="G25" i="6"/>
  <c r="H25" i="6" s="1"/>
  <c r="F21" i="6"/>
  <c r="G21" i="6" s="1"/>
  <c r="H21" i="6" s="1"/>
  <c r="I21" i="6" s="1"/>
  <c r="J21" i="6" s="1"/>
  <c r="K14" i="5"/>
  <c r="F22" i="6"/>
  <c r="G22" i="6" s="1"/>
  <c r="H22" i="6" s="1"/>
  <c r="I22" i="6" s="1"/>
  <c r="J22" i="6" s="1"/>
  <c r="L49" i="1"/>
  <c r="K20" i="5"/>
  <c r="H66" i="1"/>
  <c r="M67" i="1"/>
  <c r="H18" i="5"/>
  <c r="K18" i="5" s="1"/>
  <c r="M73" i="1"/>
  <c r="H19" i="5"/>
  <c r="K19" i="5" s="1"/>
  <c r="M99" i="1"/>
  <c r="H23" i="5"/>
  <c r="Q99" i="1"/>
  <c r="J23" i="5"/>
  <c r="I112" i="1"/>
  <c r="I111" i="1" s="1"/>
  <c r="F24" i="5"/>
  <c r="M112" i="1"/>
  <c r="M111" i="1" s="1"/>
  <c r="H24" i="5"/>
  <c r="Q112" i="1"/>
  <c r="Q111" i="1" s="1"/>
  <c r="J24" i="5"/>
  <c r="K127" i="1"/>
  <c r="G27" i="5"/>
  <c r="D29" i="6"/>
  <c r="E29" i="6" s="1"/>
  <c r="F29" i="6" s="1"/>
  <c r="G29" i="6" s="1"/>
  <c r="H29" i="6" s="1"/>
  <c r="I29" i="6" s="1"/>
  <c r="J29" i="6" s="1"/>
  <c r="K29" i="5"/>
  <c r="D30" i="6"/>
  <c r="E30" i="6" s="1"/>
  <c r="F30" i="6" s="1"/>
  <c r="G30" i="6" s="1"/>
  <c r="M149" i="1"/>
  <c r="H30" i="5"/>
  <c r="Q149" i="1"/>
  <c r="J30" i="5"/>
  <c r="D31" i="6"/>
  <c r="E31" i="6" s="1"/>
  <c r="F31" i="6" s="1"/>
  <c r="G31" i="6" s="1"/>
  <c r="H31" i="6" s="1"/>
  <c r="I31" i="6" s="1"/>
  <c r="J31" i="6" s="1"/>
  <c r="K31" i="5"/>
  <c r="K157" i="1"/>
  <c r="G32" i="5"/>
  <c r="G32" i="6" s="1"/>
  <c r="H32" i="6" s="1"/>
  <c r="O157" i="1"/>
  <c r="I32" i="5"/>
  <c r="K178" i="1"/>
  <c r="G34" i="5"/>
  <c r="O178" i="1"/>
  <c r="I34" i="5"/>
  <c r="O77" i="1"/>
  <c r="K77" i="1"/>
  <c r="Q49" i="1"/>
  <c r="G32" i="1"/>
  <c r="G11" i="1" s="1"/>
  <c r="F14" i="6"/>
  <c r="G14" i="6" s="1"/>
  <c r="H14" i="6" s="1"/>
  <c r="I14" i="6" s="1"/>
  <c r="J14" i="6" s="1"/>
  <c r="E17" i="6"/>
  <c r="F17" i="6" s="1"/>
  <c r="G17" i="6" s="1"/>
  <c r="H17" i="6" s="1"/>
  <c r="I17" i="6" s="1"/>
  <c r="J17" i="6" s="1"/>
  <c r="S61" i="1"/>
  <c r="M119" i="1"/>
  <c r="O119" i="1"/>
  <c r="O118" i="1" s="1"/>
  <c r="I25" i="5"/>
  <c r="R120" i="1"/>
  <c r="Q119" i="1"/>
  <c r="J26" i="5"/>
  <c r="I127" i="1"/>
  <c r="G149" i="1"/>
  <c r="G131" i="1" s="1"/>
  <c r="G117" i="1" s="1"/>
  <c r="K149" i="1"/>
  <c r="I157" i="1"/>
  <c r="H157" i="1"/>
  <c r="H131" i="1" s="1"/>
  <c r="K170" i="1"/>
  <c r="Q132" i="1"/>
  <c r="M132" i="1"/>
  <c r="I132" i="1"/>
  <c r="E132" i="1"/>
  <c r="K49" i="1"/>
  <c r="O32" i="1"/>
  <c r="K32" i="1"/>
  <c r="F23" i="6"/>
  <c r="E12" i="6"/>
  <c r="F12" i="6" s="1"/>
  <c r="G12" i="6" s="1"/>
  <c r="H12" i="6" s="1"/>
  <c r="I12" i="6" s="1"/>
  <c r="J12" i="6" s="1"/>
  <c r="I67" i="1"/>
  <c r="Q67" i="1"/>
  <c r="Q66" i="1" s="1"/>
  <c r="I73" i="1"/>
  <c r="I99" i="1"/>
  <c r="K99" i="1"/>
  <c r="G23" i="5"/>
  <c r="O99" i="1"/>
  <c r="I23" i="5"/>
  <c r="K112" i="1"/>
  <c r="K111" i="1" s="1"/>
  <c r="G24" i="5"/>
  <c r="O112" i="1"/>
  <c r="O111" i="1" s="1"/>
  <c r="I24" i="5"/>
  <c r="I119" i="1"/>
  <c r="F26" i="5"/>
  <c r="Q127" i="1"/>
  <c r="J27" i="5"/>
  <c r="S163" i="1"/>
  <c r="M170" i="1"/>
  <c r="H33" i="5"/>
  <c r="Q170" i="1"/>
  <c r="J33" i="5"/>
  <c r="S171" i="1"/>
  <c r="S170" i="1" s="1"/>
  <c r="D34" i="6"/>
  <c r="E34" i="6" s="1"/>
  <c r="F34" i="6" s="1"/>
  <c r="Q77" i="1"/>
  <c r="M77" i="1"/>
  <c r="O49" i="1"/>
  <c r="F27" i="6"/>
  <c r="F33" i="6"/>
  <c r="G33" i="6" s="1"/>
  <c r="I77" i="1"/>
  <c r="F20" i="6"/>
  <c r="G20" i="6" s="1"/>
  <c r="H20" i="6" s="1"/>
  <c r="I20" i="6" s="1"/>
  <c r="J20" i="6" s="1"/>
  <c r="D9" i="6"/>
  <c r="M49" i="1"/>
  <c r="K17" i="5"/>
  <c r="R179" i="1"/>
  <c r="R178" i="1" s="1"/>
  <c r="Q157" i="1"/>
  <c r="M157" i="1"/>
  <c r="J157" i="1"/>
  <c r="J131" i="1" s="1"/>
  <c r="N157" i="1"/>
  <c r="N131" i="1" s="1"/>
  <c r="S158" i="1"/>
  <c r="R158" i="1"/>
  <c r="R150" i="1"/>
  <c r="R149" i="1" s="1"/>
  <c r="S150" i="1"/>
  <c r="S149" i="1" s="1"/>
  <c r="S142" i="1"/>
  <c r="S132" i="1" s="1"/>
  <c r="S123" i="1"/>
  <c r="R147" i="1"/>
  <c r="R142" i="1" s="1"/>
  <c r="R132" i="1" s="1"/>
  <c r="S128" i="1"/>
  <c r="S127" i="1" s="1"/>
  <c r="P119" i="1"/>
  <c r="P118" i="1" s="1"/>
  <c r="R123" i="1"/>
  <c r="L119" i="1"/>
  <c r="L118" i="1" s="1"/>
  <c r="N119" i="1"/>
  <c r="N118" i="1" s="1"/>
  <c r="N117" i="1" s="1"/>
  <c r="R92" i="1"/>
  <c r="R100" i="1"/>
  <c r="R99" i="1" s="1"/>
  <c r="S100" i="1"/>
  <c r="S99" i="1" s="1"/>
  <c r="S92" i="1"/>
  <c r="S89" i="1"/>
  <c r="R68" i="1"/>
  <c r="R67" i="1" s="1"/>
  <c r="R66" i="1" s="1"/>
  <c r="L66" i="1"/>
  <c r="J66" i="1"/>
  <c r="N66" i="1"/>
  <c r="S68" i="1"/>
  <c r="S67" i="1" s="1"/>
  <c r="S66" i="1" s="1"/>
  <c r="R61" i="1"/>
  <c r="S55" i="1"/>
  <c r="R55" i="1"/>
  <c r="S48" i="1"/>
  <c r="R48" i="1"/>
  <c r="S47" i="1"/>
  <c r="R47" i="1"/>
  <c r="S46" i="1"/>
  <c r="R46" i="1"/>
  <c r="S45" i="1"/>
  <c r="R45" i="1"/>
  <c r="S44" i="1"/>
  <c r="R44" i="1"/>
  <c r="S43" i="1"/>
  <c r="R43" i="1"/>
  <c r="S42" i="1"/>
  <c r="R42" i="1"/>
  <c r="S41" i="1"/>
  <c r="R41" i="1"/>
  <c r="Q40" i="1"/>
  <c r="P40" i="1"/>
  <c r="P39" i="1" s="1"/>
  <c r="O40" i="1"/>
  <c r="N40" i="1"/>
  <c r="N39" i="1" s="1"/>
  <c r="M40" i="1"/>
  <c r="L40" i="1"/>
  <c r="L39" i="1" s="1"/>
  <c r="K40" i="1"/>
  <c r="J40" i="1"/>
  <c r="J39" i="1" s="1"/>
  <c r="I40" i="1"/>
  <c r="H40" i="1"/>
  <c r="H39" i="1" s="1"/>
  <c r="S34" i="1"/>
  <c r="S33" i="1" s="1"/>
  <c r="S32" i="1" s="1"/>
  <c r="R34" i="1"/>
  <c r="R33" i="1" s="1"/>
  <c r="R32" i="1" s="1"/>
  <c r="S31" i="1"/>
  <c r="R31" i="1"/>
  <c r="S30" i="1"/>
  <c r="R30" i="1"/>
  <c r="S29" i="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E131" i="1" l="1"/>
  <c r="E117" i="1" s="1"/>
  <c r="E190" i="1" s="1"/>
  <c r="H38" i="1"/>
  <c r="J38" i="1"/>
  <c r="I12" i="1"/>
  <c r="I11" i="1" s="1"/>
  <c r="M118" i="1"/>
  <c r="S119" i="1"/>
  <c r="P65" i="1"/>
  <c r="K66" i="1"/>
  <c r="G10" i="1"/>
  <c r="G190" i="1" s="1"/>
  <c r="P38" i="1"/>
  <c r="M66" i="1"/>
  <c r="N38" i="1"/>
  <c r="H19" i="6"/>
  <c r="I19" i="6" s="1"/>
  <c r="J19" i="6" s="1"/>
  <c r="R157" i="1"/>
  <c r="R131" i="1" s="1"/>
  <c r="G27" i="6"/>
  <c r="H27" i="6" s="1"/>
  <c r="I27" i="6" s="1"/>
  <c r="J27" i="6" s="1"/>
  <c r="K34" i="5"/>
  <c r="K32" i="5"/>
  <c r="P117" i="1"/>
  <c r="L65" i="1"/>
  <c r="J65" i="1"/>
  <c r="H117" i="1"/>
  <c r="R119" i="1"/>
  <c r="R118" i="1" s="1"/>
  <c r="I131" i="1"/>
  <c r="N65" i="1"/>
  <c r="K131" i="1"/>
  <c r="K118" i="1"/>
  <c r="I25" i="6"/>
  <c r="J25" i="6" s="1"/>
  <c r="S77" i="1"/>
  <c r="S76" i="1" s="1"/>
  <c r="S65" i="1" s="1"/>
  <c r="O131" i="1"/>
  <c r="O117" i="1" s="1"/>
  <c r="I76" i="1"/>
  <c r="M76" i="1"/>
  <c r="Q131" i="1"/>
  <c r="Q118" i="1"/>
  <c r="O76" i="1"/>
  <c r="O65" i="1" s="1"/>
  <c r="J117" i="1"/>
  <c r="K27" i="5"/>
  <c r="L117" i="1"/>
  <c r="S118" i="1"/>
  <c r="I66" i="1"/>
  <c r="H65" i="1"/>
  <c r="I32" i="6"/>
  <c r="J32" i="6" s="1"/>
  <c r="K30" i="5"/>
  <c r="H30" i="6"/>
  <c r="I30" i="6" s="1"/>
  <c r="J30" i="6" s="1"/>
  <c r="K23" i="5"/>
  <c r="G34" i="6"/>
  <c r="H34" i="6" s="1"/>
  <c r="I34" i="6" s="1"/>
  <c r="J34" i="6" s="1"/>
  <c r="H33" i="6"/>
  <c r="I33" i="6" s="1"/>
  <c r="J33" i="6" s="1"/>
  <c r="K33" i="5"/>
  <c r="K25" i="5"/>
  <c r="H18" i="6"/>
  <c r="I18" i="6" s="1"/>
  <c r="J18" i="6" s="1"/>
  <c r="S49" i="1"/>
  <c r="L38" i="1"/>
  <c r="K26" i="5"/>
  <c r="F26" i="6"/>
  <c r="G26" i="6" s="1"/>
  <c r="H26" i="6" s="1"/>
  <c r="I26" i="6" s="1"/>
  <c r="J26" i="6" s="1"/>
  <c r="G23" i="6"/>
  <c r="H23" i="6" s="1"/>
  <c r="I23" i="6" s="1"/>
  <c r="J23" i="6" s="1"/>
  <c r="I39" i="1"/>
  <c r="I38" i="1" s="1"/>
  <c r="F13" i="5"/>
  <c r="M39" i="1"/>
  <c r="M38" i="1" s="1"/>
  <c r="H13" i="5"/>
  <c r="Q39" i="1"/>
  <c r="Q38" i="1" s="1"/>
  <c r="J13" i="5"/>
  <c r="S157" i="1"/>
  <c r="S131" i="1" s="1"/>
  <c r="Q76" i="1"/>
  <c r="Q65" i="1" s="1"/>
  <c r="I118" i="1"/>
  <c r="K76" i="1"/>
  <c r="K65" i="1" s="1"/>
  <c r="K24" i="5"/>
  <c r="F24" i="6"/>
  <c r="G24" i="6" s="1"/>
  <c r="H24" i="6" s="1"/>
  <c r="I24" i="6" s="1"/>
  <c r="J24" i="6" s="1"/>
  <c r="N12" i="1"/>
  <c r="N11" i="1" s="1"/>
  <c r="R49" i="1"/>
  <c r="O12" i="1"/>
  <c r="O11" i="1" s="1"/>
  <c r="I9" i="5"/>
  <c r="K39" i="1"/>
  <c r="K38" i="1" s="1"/>
  <c r="G13" i="5"/>
  <c r="O39" i="1"/>
  <c r="O38" i="1" s="1"/>
  <c r="I13" i="5"/>
  <c r="R77" i="1"/>
  <c r="R76" i="1" s="1"/>
  <c r="R65" i="1" s="1"/>
  <c r="M131" i="1"/>
  <c r="Q12" i="1"/>
  <c r="Q11" i="1" s="1"/>
  <c r="S28" i="1"/>
  <c r="P12" i="1"/>
  <c r="P11" i="1" s="1"/>
  <c r="J12" i="1"/>
  <c r="J11" i="1" s="1"/>
  <c r="R40" i="1"/>
  <c r="R39" i="1" s="1"/>
  <c r="S40" i="1"/>
  <c r="S39" i="1" s="1"/>
  <c r="H12" i="1"/>
  <c r="H11" i="1" s="1"/>
  <c r="R28" i="1"/>
  <c r="L12" i="1"/>
  <c r="L11" i="1" s="1"/>
  <c r="M12" i="1"/>
  <c r="M11" i="1" s="1"/>
  <c r="S13" i="1"/>
  <c r="R13" i="1"/>
  <c r="K12" i="1"/>
  <c r="K11" i="1" s="1"/>
  <c r="R12" i="1" l="1"/>
  <c r="R11" i="1" s="1"/>
  <c r="H10" i="1"/>
  <c r="H190" i="1" s="1"/>
  <c r="N10" i="1"/>
  <c r="N190" i="1" s="1"/>
  <c r="J10" i="1"/>
  <c r="J190" i="1" s="1"/>
  <c r="M117" i="1"/>
  <c r="I10" i="1"/>
  <c r="O10" i="1"/>
  <c r="O190" i="1" s="1"/>
  <c r="M65" i="1"/>
  <c r="P10" i="1"/>
  <c r="P190" i="1" s="1"/>
  <c r="I117" i="1"/>
  <c r="K117" i="1"/>
  <c r="I65" i="1"/>
  <c r="S117" i="1"/>
  <c r="R117" i="1"/>
  <c r="Q117" i="1"/>
  <c r="Q10" i="1"/>
  <c r="L10" i="1"/>
  <c r="L190" i="1" s="1"/>
  <c r="K10" i="1"/>
  <c r="M10" i="1"/>
  <c r="S38" i="1"/>
  <c r="K9" i="5"/>
  <c r="K13" i="5"/>
  <c r="F13" i="6"/>
  <c r="G13" i="6" s="1"/>
  <c r="H13" i="6" s="1"/>
  <c r="I13" i="6" s="1"/>
  <c r="J13" i="6" s="1"/>
  <c r="R38" i="1"/>
  <c r="R10" i="1" s="1"/>
  <c r="E9" i="6"/>
  <c r="F9" i="6" s="1"/>
  <c r="G9" i="6" s="1"/>
  <c r="H9" i="6" s="1"/>
  <c r="I9" i="6" s="1"/>
  <c r="J9" i="6" s="1"/>
  <c r="S12" i="1"/>
  <c r="S11" i="1" s="1"/>
  <c r="I190" i="1" l="1"/>
  <c r="M190" i="1"/>
  <c r="K190" i="1"/>
  <c r="R190" i="1"/>
  <c r="Q190" i="1"/>
  <c r="S10" i="1"/>
  <c r="S190" i="1" s="1"/>
</calcChain>
</file>

<file path=xl/sharedStrings.xml><?xml version="1.0" encoding="utf-8"?>
<sst xmlns="http://schemas.openxmlformats.org/spreadsheetml/2006/main" count="4377" uniqueCount="1035">
  <si>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</si>
  <si>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</si>
  <si>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</si>
  <si>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</si>
  <si>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</si>
  <si>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</si>
  <si>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</si>
  <si>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</si>
  <si>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</si>
  <si>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</si>
  <si>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</si>
  <si>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</si>
  <si>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</si>
  <si>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</si>
  <si>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</si>
  <si>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</si>
  <si>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</si>
  <si>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</si>
  <si>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</si>
  <si>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</si>
  <si>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</si>
  <si>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</si>
  <si>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</si>
  <si>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</si>
  <si>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</si>
  <si>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</si>
  <si>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</si>
  <si>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</si>
  <si>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</si>
  <si>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</si>
  <si>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</si>
  <si>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</si>
  <si>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</si>
  <si>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</si>
  <si>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</si>
  <si>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</si>
  <si>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</si>
  <si>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</si>
  <si>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</si>
  <si>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</si>
  <si>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</si>
  <si>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</si>
  <si>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</si>
  <si>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</si>
  <si>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</si>
  <si>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</si>
  <si>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</si>
  <si>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</si>
  <si>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</si>
  <si>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</si>
  <si>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</si>
  <si>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</si>
  <si>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</si>
  <si>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</si>
  <si>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</si>
  <si>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</si>
  <si>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</si>
  <si>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</si>
  <si>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</si>
  <si>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</si>
  <si>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</si>
  <si>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</si>
  <si>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</si>
  <si>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</si>
  <si>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</si>
  <si>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</si>
  <si>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</si>
  <si>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</si>
  <si>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</si>
  <si>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</si>
  <si>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</si>
  <si>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</si>
  <si>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</si>
  <si>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</si>
  <si>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</si>
  <si>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</si>
  <si>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</si>
  <si>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</si>
  <si>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</si>
  <si>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</si>
  <si>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</si>
  <si>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</si>
  <si>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</si>
  <si>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</si>
  <si>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</si>
  <si>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</si>
  <si>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</si>
  <si>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</si>
  <si>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</si>
  <si>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</si>
  <si>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</si>
  <si>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</si>
  <si>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</si>
  <si>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</si>
  <si>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</si>
  <si>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</si>
  <si>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</si>
  <si>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</si>
  <si>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</si>
  <si>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</si>
  <si>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</si>
  <si>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</si>
  <si>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</si>
  <si>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</si>
  <si>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</si>
  <si>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</si>
  <si>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</si>
  <si>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</si>
  <si>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</si>
  <si>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</si>
  <si>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</si>
  <si>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</si>
  <si>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</si>
  <si>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</si>
  <si>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</si>
  <si>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</si>
  <si>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</si>
  <si>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</si>
  <si>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</si>
  <si>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</si>
  <si>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</si>
  <si>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</si>
  <si>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</si>
  <si>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</si>
  <si>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</si>
  <si>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</si>
  <si>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</si>
  <si>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</si>
  <si>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</si>
  <si>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</si>
  <si>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</si>
  <si>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</si>
  <si>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</si>
  <si>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</si>
  <si>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</si>
  <si>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</si>
  <si>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</si>
  <si>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</si>
  <si>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r>
      <t xml:space="preserve">Darnaus judumo priemonės miestuose (pėsčiųjų ir dviračių takų infrastruktūra, </t>
    </r>
    <r>
      <rPr>
        <i/>
        <sz val="10"/>
        <color theme="1"/>
        <rFont val="Times New Roman"/>
        <family val="1"/>
        <charset val="186"/>
      </rPr>
      <t>Park and Ride</t>
    </r>
    <r>
      <rPr>
        <sz val="10"/>
        <color theme="1"/>
        <rFont val="Times New Roman"/>
        <family val="1"/>
        <charset val="186"/>
      </rPr>
      <t xml:space="preserve">, </t>
    </r>
    <r>
      <rPr>
        <i/>
        <sz val="10"/>
        <color theme="1"/>
        <rFont val="Times New Roman"/>
        <family val="1"/>
        <charset val="186"/>
      </rPr>
      <t>Bike and Ride</t>
    </r>
    <r>
      <rPr>
        <sz val="10"/>
        <color theme="1"/>
        <rFont val="Times New Roman"/>
        <family val="1"/>
        <charset val="186"/>
      </rPr>
      <t xml:space="preserve"> aikštelės, elektromobilių įkrovimo stotelių įrengimas ir kita)</t>
    </r>
  </si>
  <si>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</si>
  <si>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</si>
  <si>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</si>
  <si>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</si>
  <si>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</si>
  <si>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</si>
  <si>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</si>
  <si>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</si>
  <si>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</si>
  <si>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</si>
  <si>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</si>
  <si>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</si>
  <si>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</si>
  <si>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</si>
  <si>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</si>
  <si>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</si>
  <si>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</si>
  <si>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</si>
  <si>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</si>
  <si>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</si>
  <si>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</si>
  <si>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</si>
  <si>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</si>
  <si>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</si>
  <si>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</si>
  <si>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</si>
  <si>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</si>
  <si>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</si>
  <si>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</si>
  <si>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</si>
  <si>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</si>
  <si>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</si>
  <si>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</si>
  <si>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</si>
  <si>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</si>
  <si>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</si>
  <si>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</si>
  <si>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</si>
  <si>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</si>
  <si>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</si>
  <si>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</si>
  <si>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</si>
  <si>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</si>
  <si>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</si>
  <si>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</si>
  <si>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</si>
  <si>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</si>
  <si>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</si>
  <si>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</si>
  <si>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</si>
  <si>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</si>
  <si>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</si>
  <si>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</si>
  <si>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</si>
  <si>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</si>
  <si>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</si>
  <si>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</si>
  <si>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</si>
  <si>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</si>
  <si>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</si>
  <si>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</si>
  <si>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</si>
  <si>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</si>
  <si>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</si>
  <si>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</si>
  <si>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</si>
  <si>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</si>
  <si>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</si>
  <si>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</si>
  <si>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</si>
  <si>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</si>
  <si>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</si>
  <si>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</si>
  <si>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</si>
  <si>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</si>
  <si>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</si>
  <si>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</si>
  <si>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</si>
  <si>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</si>
  <si>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</si>
  <si>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 xml:space="preserve"> Dviračių ir pėsčiųjų takų plėtra Ignalinos miesto Geležinkelio g., Budrių g. ir Ateities g. bei esamame take nuo Mokyklos g. į Strigailiškio kaimą            
</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</si>
  <si>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</si>
  <si>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</si>
  <si>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</si>
  <si>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</si>
  <si>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</si>
  <si>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</si>
  <si>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</si>
  <si>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</si>
  <si>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1.2.2.2.1</t>
  </si>
  <si>
    <t>Molėtų autobusų stoties teritorijos sutvarkymas įdiegiant Park-and-ride sistemą</t>
  </si>
  <si>
    <t>1.2.2.2.2</t>
  </si>
  <si>
    <t xml:space="preserve">Visagino miesto darnaus judumo plano parengimas </t>
  </si>
  <si>
    <t>1.2.2.2.3</t>
  </si>
  <si>
    <t xml:space="preserve">Darnaus judumo infrastruktūros įrengimas Visagino mieste </t>
  </si>
  <si>
    <t>1.2.2.2.4</t>
  </si>
  <si>
    <t>Darnaus judumo Utenos mieste plano rengimas</t>
  </si>
  <si>
    <t>1.2.2.2.5</t>
  </si>
  <si>
    <t>Molėtų miesto darnaus judumo plano parengimas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</si>
  <si>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</si>
  <si>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</si>
  <si>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</si>
  <si>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</si>
  <si>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</si>
  <si>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</si>
  <si>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</si>
  <si>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</si>
  <si>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</si>
  <si>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</si>
  <si>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</si>
  <si>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</si>
  <si>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</si>
  <si>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</si>
  <si>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</si>
  <si>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</si>
  <si>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</si>
  <si>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</si>
  <si>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</si>
  <si>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</si>
  <si>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</si>
  <si>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</si>
  <si>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</si>
  <si>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</si>
  <si>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</si>
  <si>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</si>
  <si>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</si>
  <si>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</si>
  <si>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</si>
  <si>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</si>
  <si>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</si>
  <si>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</si>
  <si>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</si>
  <si>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</si>
  <si>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</si>
  <si>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</si>
  <si>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</si>
  <si>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</si>
  <si>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</si>
  <si>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</si>
  <si>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</si>
  <si>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</si>
  <si>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</si>
  <si>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</si>
  <si>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</si>
  <si>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</si>
  <si>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</si>
  <si>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</si>
  <si>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</si>
  <si>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</si>
  <si>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</si>
  <si>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</si>
  <si>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</si>
  <si>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</si>
  <si>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</si>
  <si>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</si>
  <si>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</si>
  <si>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</si>
  <si>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</si>
  <si>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</si>
  <si>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</si>
  <si>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</si>
  <si>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</si>
  <si>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</si>
  <si>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</si>
  <si>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</si>
  <si>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</si>
  <si>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</si>
  <si>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</si>
  <si>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</si>
  <si>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</si>
  <si>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</si>
  <si>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</si>
  <si>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</si>
  <si>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</si>
  <si>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</si>
  <si>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</si>
  <si>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</si>
  <si>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</si>
  <si>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</si>
  <si>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</si>
  <si>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</si>
  <si>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</si>
  <si>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</si>
  <si>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</si>
  <si>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</si>
  <si>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</si>
  <si>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</si>
  <si>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</si>
  <si>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</si>
  <si>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</si>
  <si>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</si>
  <si>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</si>
  <si>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</si>
  <si>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</si>
  <si>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</si>
  <si>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</si>
  <si>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</si>
  <si>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</si>
  <si>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</si>
  <si>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</si>
  <si>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</si>
  <si>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</si>
  <si>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</si>
  <si>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</si>
  <si>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</si>
  <si>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</si>
  <si>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</si>
  <si>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</si>
  <si>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</si>
  <si>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</si>
  <si>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</si>
  <si>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</si>
  <si>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</si>
  <si>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</si>
  <si>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</si>
  <si>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</si>
  <si>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</si>
  <si>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</si>
  <si>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</si>
  <si>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</si>
  <si>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</si>
  <si>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</si>
  <si>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</si>
  <si>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</si>
  <si>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</si>
  <si>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</si>
  <si>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</si>
  <si>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</si>
  <si>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</si>
  <si>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</si>
  <si>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</si>
  <si>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</si>
  <si>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</si>
  <si>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</si>
  <si>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</si>
  <si>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</si>
  <si>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</si>
  <si>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</si>
  <si>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</si>
  <si>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</si>
  <si>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</si>
  <si>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</si>
  <si>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</si>
  <si>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</si>
  <si>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</si>
  <si>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</si>
  <si>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</si>
  <si>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</si>
  <si>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</si>
  <si>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</si>
  <si>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</si>
  <si>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</si>
  <si>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</si>
  <si>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</si>
  <si>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</si>
  <si>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</si>
  <si>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</si>
  <si>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</si>
  <si>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</si>
  <si>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</si>
  <si>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</si>
  <si>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</si>
  <si>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</si>
  <si>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</si>
  <si>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</si>
  <si>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</si>
  <si>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</si>
  <si>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</si>
  <si>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</si>
  <si>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</si>
  <si>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</si>
  <si>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</si>
  <si>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</si>
  <si>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</si>
  <si>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Pramoninio pastato Ignalinoje, Gėlių g. Nr. 13 pritaikomo socialiniam būstui pertvarkymo užbaigimas ir socialinių būstų įsigijimas</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</si>
  <si>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</si>
  <si>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</si>
  <si>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</si>
  <si>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</si>
  <si>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</si>
  <si>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</si>
  <si>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</si>
  <si>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</si>
  <si>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</si>
  <si>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</si>
  <si>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</si>
  <si>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</si>
  <si>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</si>
  <si>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</si>
  <si>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</si>
  <si>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</si>
  <si>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</si>
  <si>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</si>
  <si>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</si>
  <si>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</si>
  <si>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</si>
  <si>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</si>
  <si>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</si>
  <si>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</si>
  <si>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</si>
  <si>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</si>
  <si>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</si>
  <si>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</si>
  <si>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</si>
  <si>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</si>
  <si>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</si>
  <si>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</si>
  <si>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</si>
  <si>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</si>
  <si>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</si>
  <si>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</si>
  <si>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</si>
  <si>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</si>
  <si>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</si>
  <si>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</si>
  <si>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</si>
  <si>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</si>
  <si>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</si>
  <si>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</si>
  <si>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</si>
  <si>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</si>
  <si>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</si>
  <si>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</si>
  <si>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</si>
  <si>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</si>
  <si>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</si>
  <si>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</si>
  <si>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</si>
  <si>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</si>
  <si>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</si>
  <si>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</si>
  <si>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</si>
  <si>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</si>
  <si>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</si>
  <si>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</si>
  <si>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</si>
  <si>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</si>
  <si>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</si>
  <si>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</si>
  <si>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</si>
  <si>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</si>
  <si>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</si>
  <si>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</si>
  <si>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</si>
  <si>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</si>
  <si>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</si>
  <si>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</si>
  <si>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</si>
  <si>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</si>
  <si>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</si>
  <si>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</si>
  <si>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</si>
  <si>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</si>
  <si>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</si>
  <si>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</si>
  <si>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2016.</t>
  </si>
  <si>
    <t>2018.10</t>
  </si>
  <si>
    <t>2018.12</t>
  </si>
  <si>
    <t>2018.02</t>
  </si>
  <si>
    <t>2018.05</t>
  </si>
  <si>
    <t>2017.11</t>
  </si>
  <si>
    <t>2018.04</t>
  </si>
  <si>
    <t>2016.12</t>
  </si>
  <si>
    <t>2017.</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</si>
  <si>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</si>
  <si>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</si>
  <si>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</si>
  <si>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</si>
  <si>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</si>
  <si>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</si>
  <si>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</si>
  <si>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</si>
  <si>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</si>
  <si>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</si>
  <si>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</si>
  <si>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</si>
  <si>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</si>
  <si>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</si>
  <si>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</si>
  <si>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</si>
  <si>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</si>
  <si>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</si>
  <si>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</si>
  <si>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</si>
  <si>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</si>
  <si>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</si>
  <si>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</si>
  <si>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</si>
  <si>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</si>
  <si>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</si>
  <si>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</si>
  <si>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</si>
  <si>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</si>
  <si>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</si>
  <si>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</si>
  <si>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</si>
  <si>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</si>
  <si>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</si>
  <si>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</si>
  <si>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</si>
  <si>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</si>
  <si>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</si>
  <si>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</si>
  <si>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</si>
  <si>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</si>
  <si>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</si>
  <si>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</si>
  <si>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</si>
  <si>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</si>
  <si>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</si>
  <si>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</si>
  <si>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</si>
  <si>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</si>
  <si>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</si>
  <si>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</si>
  <si>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</si>
  <si>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</si>
  <si>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</si>
  <si>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2016.10 </t>
  </si>
  <si>
    <t xml:space="preserve">2016.11 </t>
  </si>
  <si>
    <t>2017.09</t>
  </si>
  <si>
    <t>2016-10</t>
  </si>
  <si>
    <t xml:space="preserve">2018.12 </t>
  </si>
  <si>
    <t>R095511-110000-1201</t>
  </si>
  <si>
    <t xml:space="preserve"> R099908-293300-1118</t>
  </si>
  <si>
    <t>R095511-120000-1202</t>
  </si>
  <si>
    <t>R095511-121100-1203</t>
  </si>
  <si>
    <t>R095511-120000-1205</t>
  </si>
  <si>
    <t>R095511-120000-1206</t>
  </si>
  <si>
    <t>R095511-120000-1204</t>
  </si>
  <si>
    <t>R095511-120000-1207</t>
  </si>
  <si>
    <t>R095511-120000-1208</t>
  </si>
  <si>
    <t xml:space="preserve">Dviračių ir pėsčiųjų takų plėtra Ignalinos miesto Geležinkelio g., Budrių g. ir Ateities g. bei esamame take nuo Mokyklos g. į Strigailiškio kaimą            
</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</si>
  <si>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</si>
  <si>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</si>
  <si>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</si>
  <si>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</si>
  <si>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</si>
  <si>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</si>
  <si>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</si>
  <si>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</si>
  <si>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</si>
  <si>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</si>
  <si>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</si>
  <si>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Molėtų autobusų stoties teritorijos sutvarkymas įdiegiant Park-and-ride sistemą </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</si>
  <si>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</si>
  <si>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</si>
  <si>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</si>
  <si>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</si>
  <si>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</si>
  <si>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</si>
  <si>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</si>
  <si>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</si>
  <si>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</si>
  <si>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</si>
  <si>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R095514-190000-1213</t>
  </si>
  <si>
    <t>R095513-190000-1214</t>
  </si>
  <si>
    <t>R095514-190000-1215</t>
  </si>
  <si>
    <t>R095513-500000-1216</t>
  </si>
  <si>
    <t>R095513-500000-1217</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</si>
  <si>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</si>
  <si>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</si>
  <si>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</si>
  <si>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</si>
  <si>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</si>
  <si>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</si>
  <si>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</si>
  <si>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</si>
  <si>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</si>
  <si>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</si>
  <si>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</si>
  <si>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</si>
  <si>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</si>
  <si>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</si>
  <si>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</si>
  <si>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</si>
  <si>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</si>
  <si>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</si>
  <si>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</si>
  <si>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</si>
  <si>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</si>
  <si>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</si>
  <si>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</si>
  <si>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</si>
  <si>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</si>
  <si>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</si>
  <si>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</si>
  <si>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</si>
  <si>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</si>
  <si>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</si>
  <si>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</si>
  <si>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</si>
  <si>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</si>
  <si>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</si>
  <si>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</si>
  <si>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</si>
  <si>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</si>
  <si>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</si>
  <si>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</si>
  <si>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</si>
  <si>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</si>
  <si>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</si>
  <si>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</si>
  <si>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</si>
  <si>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</si>
  <si>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</si>
  <si>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</si>
  <si>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</si>
  <si>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</si>
  <si>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</si>
  <si>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</si>
  <si>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</si>
  <si>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</si>
  <si>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</si>
  <si>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</si>
  <si>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</si>
  <si>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</si>
  <si>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</si>
  <si>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</si>
  <si>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</si>
  <si>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</si>
  <si>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</si>
  <si>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</si>
  <si>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</si>
  <si>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</si>
  <si>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</si>
  <si>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</si>
  <si>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</si>
  <si>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</si>
  <si>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</si>
  <si>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</si>
  <si>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</si>
  <si>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</si>
  <si>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</si>
  <si>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</si>
  <si>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</si>
  <si>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</si>
  <si>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</si>
  <si>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</si>
  <si>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</si>
  <si>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</si>
  <si>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</si>
  <si>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</si>
  <si>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</si>
  <si>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</si>
  <si>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</si>
  <si>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</si>
  <si>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</si>
  <si>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</si>
  <si>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</si>
  <si>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</si>
  <si>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</si>
  <si>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</si>
  <si>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</si>
  <si>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</si>
  <si>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</si>
  <si>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</si>
  <si>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</si>
  <si>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</si>
  <si>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</si>
  <si>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</si>
  <si>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</si>
  <si>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</si>
  <si>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</si>
  <si>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</si>
  <si>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</si>
  <si>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</si>
  <si>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</si>
  <si>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</si>
  <si>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</si>
  <si>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</si>
  <si>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</si>
  <si>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</si>
  <si>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</si>
  <si>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</si>
  <si>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</si>
  <si>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</si>
  <si>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</si>
  <si>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</si>
  <si>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</si>
  <si>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</si>
  <si>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</si>
  <si>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</si>
  <si>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</si>
  <si>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</si>
  <si>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</si>
  <si>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</si>
  <si>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</si>
  <si>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</si>
  <si>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</si>
  <si>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</si>
  <si>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</si>
  <si>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</si>
  <si>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</si>
  <si>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</si>
  <si>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</si>
  <si>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</si>
  <si>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</si>
  <si>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</si>
  <si>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</si>
  <si>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</si>
  <si>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</si>
  <si>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</si>
  <si>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</si>
  <si>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</si>
  <si>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</si>
  <si>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</si>
  <si>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</si>
  <si>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</si>
  <si>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</si>
  <si>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</si>
  <si>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</si>
  <si>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</si>
  <si>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</si>
  <si>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</si>
  <si>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</si>
  <si>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</si>
  <si>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</si>
  <si>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</si>
  <si>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</si>
  <si>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</si>
  <si>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</si>
  <si>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</si>
  <si>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</si>
  <si>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</si>
  <si>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</si>
  <si>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</si>
  <si>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</si>
  <si>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</si>
  <si>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</si>
  <si>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</si>
  <si>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</si>
  <si>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</si>
  <si>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</si>
  <si>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</si>
  <si>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2018.05.</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</si>
  <si>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</si>
  <si>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</si>
  <si>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</si>
  <si>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</si>
  <si>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</si>
  <si>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</si>
  <si>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</si>
  <si>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</si>
  <si>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</si>
  <si>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</si>
  <si>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</si>
  <si>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</si>
  <si>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</si>
  <si>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</si>
  <si>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</si>
  <si>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</si>
  <si>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</si>
  <si>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</si>
  <si>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</si>
  <si>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</si>
  <si>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</si>
  <si>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</si>
  <si>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</si>
  <si>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</si>
  <si>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</si>
  <si>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</si>
  <si>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</si>
  <si>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</si>
  <si>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</si>
  <si>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</si>
  <si>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</si>
  <si>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</si>
  <si>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</si>
  <si>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</si>
  <si>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</si>
  <si>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</si>
  <si>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</si>
  <si>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</si>
  <si>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</si>
  <si>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</si>
  <si>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</si>
  <si>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</si>
  <si>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</si>
  <si>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</si>
  <si>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</si>
  <si>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</si>
  <si>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</si>
  <si>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</si>
  <si>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</si>
  <si>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</si>
  <si>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</si>
  <si>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</si>
  <si>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</si>
  <si>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</si>
  <si>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</si>
  <si>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</si>
  <si>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</si>
  <si>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</si>
  <si>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</si>
  <si>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</si>
  <si>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</si>
  <si>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</si>
  <si>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Gyventojai, kuriems teikiamos paslaugos naujai pastatytais nuotekų surinkimo tinklais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</si>
  <si>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</si>
  <si>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</si>
  <si>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</si>
  <si>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</si>
  <si>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</si>
  <si>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</si>
  <si>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</si>
  <si>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</si>
  <si>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</si>
  <si>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</si>
  <si>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</si>
  <si>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</si>
  <si>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</si>
  <si>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</si>
  <si>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</si>
  <si>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</si>
  <si>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</si>
  <si>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</si>
  <si>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</si>
  <si>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</si>
  <si>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</si>
  <si>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</si>
  <si>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</si>
  <si>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</si>
  <si>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</si>
  <si>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</si>
  <si>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</si>
  <si>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</si>
  <si>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</si>
  <si>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</si>
  <si>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</si>
  <si>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</si>
  <si>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</si>
  <si>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</si>
  <si>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</si>
  <si>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</si>
  <si>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</si>
  <si>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</si>
  <si>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</si>
  <si>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</si>
  <si>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</si>
  <si>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</si>
  <si>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</si>
  <si>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</si>
  <si>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</si>
  <si>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</si>
  <si>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</si>
  <si>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</si>
  <si>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</si>
  <si>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</si>
  <si>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</si>
  <si>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</si>
  <si>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</si>
  <si>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</si>
  <si>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</si>
  <si>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</si>
  <si>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</si>
  <si>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</si>
  <si>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</si>
  <si>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</si>
  <si>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</si>
  <si>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</si>
  <si>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</si>
  <si>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</si>
  <si>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</si>
  <si>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</si>
  <si>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</si>
  <si>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</si>
  <si>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</si>
  <si>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</si>
  <si>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</si>
  <si>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</si>
  <si>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</si>
  <si>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</si>
  <si>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</si>
  <si>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</si>
  <si>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</si>
  <si>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</si>
  <si>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</si>
  <si>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</si>
  <si>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</si>
  <si>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</si>
  <si>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</si>
  <si>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</si>
  <si>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</si>
  <si>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</si>
  <si>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</si>
  <si>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</si>
  <si>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</si>
  <si>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</si>
  <si>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</si>
  <si>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</si>
  <si>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</si>
  <si>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</si>
  <si>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</si>
  <si>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</si>
  <si>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</si>
  <si>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</si>
  <si>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</si>
  <si>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</si>
  <si>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</si>
  <si>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</si>
  <si>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</si>
  <si>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</si>
  <si>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</si>
  <si>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</si>
  <si>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</si>
  <si>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</si>
  <si>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</si>
  <si>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</si>
  <si>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</si>
  <si>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</si>
  <si>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</si>
  <si>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</si>
  <si>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</si>
  <si>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</si>
  <si>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</si>
  <si>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</si>
  <si>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</si>
  <si>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</si>
  <si>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</si>
  <si>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</si>
  <si>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</si>
  <si>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</si>
  <si>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</si>
  <si>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</si>
  <si>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</si>
  <si>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</si>
  <si>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</si>
  <si>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</si>
  <si>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</si>
  <si>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</si>
  <si>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</si>
  <si>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</si>
  <si>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</si>
  <si>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</si>
  <si>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</si>
  <si>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</si>
  <si>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</si>
  <si>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</si>
  <si>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</si>
  <si>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</si>
  <si>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</si>
  <si>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</si>
  <si>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</si>
  <si>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</si>
  <si>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</si>
  <si>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</si>
  <si>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</si>
  <si>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</si>
  <si>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</si>
  <si>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</si>
  <si>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</si>
  <si>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</si>
  <si>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</si>
  <si>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</si>
  <si>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</si>
  <si>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</si>
  <si>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</si>
  <si>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</si>
  <si>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</si>
  <si>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</si>
  <si>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</si>
  <si>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</si>
  <si>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</si>
  <si>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</si>
  <si>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</si>
  <si>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</si>
  <si>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</si>
  <si>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</si>
  <si>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</si>
  <si>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</si>
  <si>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</si>
  <si>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</si>
  <si>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</si>
  <si>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</si>
  <si>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</si>
  <si>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</si>
  <si>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</si>
  <si>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</si>
  <si>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</si>
  <si>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</si>
  <si>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</si>
  <si>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</si>
  <si>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</si>
  <si>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</si>
  <si>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</si>
  <si>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</si>
  <si>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</si>
  <si>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</si>
  <si>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</si>
  <si>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</si>
  <si>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</si>
  <si>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</si>
  <si>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20018.09</t>
  </si>
  <si>
    <t>UAB „ISC“ pirminės asmens sveikatos priežiūros paslaugų teikimo efektyvumo didinimas</t>
  </si>
  <si>
    <t>Vandentiekio ir nuotekų tinklų Anykščių aglomeracijoje (sodų bendrija ,,Šaltupys" ir Keblonių k.) statybos darbai.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</si>
</sst>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color theme="1"/>
      <name val="Times New Roman"/>
      <family val="1"/>
      <charset val="186"/>
    </font>
    <font>
      <sz val="11"/>
      <name val="Times New Roman"/>
      <family val="1"/>
      <charset val="186"/>
    </font>
    <font>
      <i/>
      <sz val="10"/>
      <color theme="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5">
    <xf numFmtId="0" fontId="0" fillId="0" borderId="0" xfId="0"/>
    <xf numFmtId="0" fontId="3" fillId="0" borderId="0" xfId="0" applyFont="1" applyAlignment="1">
      <alignment vertical="center"/>
    </xf>
    <xf numFmtId="0" fontId="1" fillId="0" borderId="0" xfId="0" applyFont="1" applyAlignment="1">
      <alignment horizontal="center"/>
    </xf>
    <xf numFmtId="0" fontId="2" fillId="0" borderId="0" xfId="0" applyFont="1" applyAlignment="1">
      <alignment vertical="center"/>
    </xf>
    <xf numFmtId="0" fontId="11" fillId="0" borderId="0" xfId="0" applyFont="1" applyAlignment="1">
      <alignment vertical="center"/>
    </xf>
    <xf numFmtId="0" fontId="3" fillId="0" borderId="0" xfId="0" applyFont="1" applyBorder="1" applyAlignment="1">
      <alignment vertical="center" wrapText="1"/>
    </xf>
    <xf numFmtId="0" fontId="0" fillId="0" borderId="0" xfId="0" applyBorder="1"/>
    <xf numFmtId="0" fontId="0" fillId="0" borderId="0" xfId="0"/>
    <xf numFmtId="0" fontId="3" fillId="0" borderId="0" xfId="0" applyFont="1"/>
    <xf numFmtId="0" fontId="2" fillId="0" borderId="1" xfId="0" applyFont="1" applyBorder="1"/>
    <xf numFmtId="0" fontId="2" fillId="0" borderId="1" xfId="0" applyFont="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7" fillId="3" borderId="1" xfId="0" applyFont="1" applyFill="1" applyBorder="1" applyAlignment="1">
      <alignment vertical="center" wrapText="1"/>
    </xf>
    <xf numFmtId="0" fontId="8" fillId="0" borderId="1" xfId="0" applyFont="1" applyBorder="1" applyAlignment="1">
      <alignment vertical="center"/>
    </xf>
    <xf numFmtId="0" fontId="6" fillId="4" borderId="1" xfId="0" applyFont="1" applyFill="1"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vertical="top" wrapText="1"/>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6" fillId="6" borderId="1" xfId="0" applyFont="1" applyFill="1" applyBorder="1" applyAlignment="1">
      <alignment vertical="center" wrapText="1"/>
    </xf>
    <xf numFmtId="0" fontId="8" fillId="0" borderId="1" xfId="0" applyFont="1" applyBorder="1"/>
    <xf numFmtId="0" fontId="6" fillId="4"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top" wrapText="1"/>
    </xf>
    <xf numFmtId="0" fontId="10" fillId="0" borderId="1" xfId="0" applyFont="1" applyBorder="1" applyAlignment="1">
      <alignment vertical="center" wrapText="1"/>
    </xf>
    <xf numFmtId="0" fontId="8" fillId="0" borderId="1" xfId="0" applyFont="1" applyBorder="1" applyAlignment="1">
      <alignment horizontal="right" vertical="center"/>
    </xf>
    <xf numFmtId="0" fontId="8" fillId="0" borderId="0" xfId="0" applyFont="1" applyBorder="1" applyAlignment="1">
      <alignment vertical="center"/>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7" fillId="4"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right" vertical="top" wrapText="1"/>
    </xf>
    <xf numFmtId="0" fontId="8" fillId="0" borderId="1" xfId="0" applyFont="1" applyFill="1" applyBorder="1" applyAlignment="1">
      <alignment horizontal="right" vertical="center" wrapText="1"/>
    </xf>
    <xf numFmtId="0" fontId="6" fillId="3" borderId="1" xfId="0" applyFont="1" applyFill="1" applyBorder="1" applyAlignment="1">
      <alignment vertical="top" wrapText="1"/>
    </xf>
    <xf numFmtId="0" fontId="6" fillId="3" borderId="1" xfId="0" applyFont="1" applyFill="1" applyBorder="1" applyAlignment="1">
      <alignment vertical="top"/>
    </xf>
    <xf numFmtId="0" fontId="8" fillId="5" borderId="1" xfId="0" applyFont="1" applyFill="1" applyBorder="1" applyAlignment="1">
      <alignment vertical="top" wrapText="1"/>
    </xf>
    <xf numFmtId="0" fontId="6" fillId="6" borderId="1" xfId="0" applyFont="1" applyFill="1" applyBorder="1" applyAlignment="1">
      <alignment vertical="top" wrapText="1"/>
    </xf>
    <xf numFmtId="0" fontId="6" fillId="2" borderId="1" xfId="0" applyFont="1" applyFill="1" applyBorder="1" applyAlignment="1">
      <alignment vertical="top" wrapText="1"/>
    </xf>
    <xf numFmtId="0" fontId="8" fillId="0" borderId="1" xfId="0" applyFont="1" applyFill="1" applyBorder="1" applyAlignment="1">
      <alignment vertical="top" wrapText="1"/>
    </xf>
    <xf numFmtId="0" fontId="2" fillId="0" borderId="0" xfId="0" applyFont="1" applyBorder="1" applyAlignment="1">
      <alignment vertical="top" wrapText="1"/>
    </xf>
    <xf numFmtId="0" fontId="0" fillId="0" borderId="0" xfId="0" applyAlignment="1">
      <alignment horizontal="center"/>
    </xf>
    <xf numFmtId="0" fontId="0" fillId="0" borderId="0" xfId="0" applyFill="1" applyBorder="1" applyAlignment="1">
      <alignment horizontal="center"/>
    </xf>
    <xf numFmtId="2" fontId="0" fillId="0" borderId="0" xfId="0" applyNumberFormat="1"/>
    <xf numFmtId="0" fontId="15" fillId="0" borderId="0" xfId="0" applyFont="1"/>
    <xf numFmtId="0" fontId="16" fillId="0" borderId="1" xfId="0" applyFont="1" applyBorder="1" applyAlignment="1">
      <alignment vertical="top" wrapText="1"/>
    </xf>
    <xf numFmtId="0" fontId="16" fillId="0" borderId="1" xfId="0" applyFont="1" applyBorder="1" applyAlignment="1">
      <alignment horizontal="center" vertical="center" wrapText="1"/>
    </xf>
    <xf numFmtId="0" fontId="2" fillId="0" borderId="0" xfId="0" applyFont="1"/>
    <xf numFmtId="0" fontId="8" fillId="0" borderId="1" xfId="0" applyFont="1" applyBorder="1" applyAlignment="1">
      <alignment wrapText="1"/>
    </xf>
    <xf numFmtId="0" fontId="3" fillId="0" borderId="1" xfId="0" applyFont="1" applyBorder="1" applyAlignment="1">
      <alignment horizontal="center" vertical="center" wrapText="1"/>
    </xf>
    <xf numFmtId="0" fontId="16" fillId="0" borderId="1" xfId="0" applyFont="1" applyBorder="1"/>
    <xf numFmtId="2" fontId="17" fillId="0" borderId="1" xfId="0" applyNumberFormat="1" applyFont="1" applyBorder="1" applyAlignment="1">
      <alignment vertical="top" wrapText="1"/>
    </xf>
    <xf numFmtId="0" fontId="18" fillId="0" borderId="0" xfId="0" applyFont="1"/>
    <xf numFmtId="0" fontId="8" fillId="7" borderId="1"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6" fillId="7" borderId="1" xfId="0" applyFont="1" applyFill="1" applyBorder="1" applyAlignment="1">
      <alignment vertical="center" wrapText="1"/>
    </xf>
    <xf numFmtId="0" fontId="6" fillId="7" borderId="1" xfId="0" applyFont="1" applyFill="1" applyBorder="1" applyAlignment="1">
      <alignment vertical="center"/>
    </xf>
    <xf numFmtId="0" fontId="8" fillId="7" borderId="1" xfId="0" applyFont="1" applyFill="1" applyBorder="1" applyAlignment="1">
      <alignment vertical="center"/>
    </xf>
    <xf numFmtId="0" fontId="9"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8" fillId="7" borderId="1" xfId="0" applyFont="1" applyFill="1" applyBorder="1" applyAlignment="1">
      <alignment vertical="top" wrapText="1"/>
    </xf>
    <xf numFmtId="0" fontId="17" fillId="0" borderId="1" xfId="0" applyFont="1" applyBorder="1" applyAlignment="1">
      <alignment vertical="top" wrapText="1"/>
    </xf>
    <xf numFmtId="0" fontId="16" fillId="0" borderId="1" xfId="0" applyFont="1" applyBorder="1" applyAlignment="1">
      <alignment vertical="center"/>
    </xf>
    <xf numFmtId="0" fontId="16" fillId="0" borderId="1" xfId="0" applyFont="1" applyBorder="1" applyAlignment="1">
      <alignment vertical="center" wrapText="1"/>
    </xf>
    <xf numFmtId="0" fontId="16" fillId="5" borderId="1" xfId="0" applyFont="1" applyFill="1" applyBorder="1" applyAlignment="1">
      <alignment vertical="center" wrapText="1"/>
    </xf>
    <xf numFmtId="2" fontId="16" fillId="0" borderId="1" xfId="0" applyNumberFormat="1" applyFont="1" applyBorder="1" applyAlignment="1">
      <alignment vertical="center"/>
    </xf>
    <xf numFmtId="2" fontId="16" fillId="0" borderId="1" xfId="0" applyNumberFormat="1" applyFont="1" applyFill="1" applyBorder="1" applyAlignment="1">
      <alignment vertical="center" wrapText="1"/>
    </xf>
    <xf numFmtId="1" fontId="16" fillId="0" borderId="1" xfId="0" applyNumberFormat="1" applyFont="1" applyFill="1" applyBorder="1" applyAlignment="1">
      <alignment vertical="center" wrapText="1"/>
    </xf>
    <xf numFmtId="0" fontId="19" fillId="0" borderId="0" xfId="0" applyFont="1" applyAlignment="1">
      <alignment vertical="center"/>
    </xf>
    <xf numFmtId="0" fontId="17" fillId="0" borderId="1" xfId="0"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wrapText="1"/>
    </xf>
    <xf numFmtId="0" fontId="20" fillId="0" borderId="1" xfId="0" applyFont="1" applyFill="1" applyBorder="1" applyAlignment="1">
      <alignment vertical="center" wrapText="1"/>
    </xf>
    <xf numFmtId="0" fontId="20" fillId="0" borderId="1" xfId="0" applyFont="1" applyBorder="1" applyAlignment="1">
      <alignment vertical="top" wrapText="1"/>
    </xf>
    <xf numFmtId="0" fontId="20" fillId="0" borderId="1" xfId="0" applyFont="1" applyFill="1" applyBorder="1" applyAlignment="1">
      <alignment horizontal="right" vertical="center" wrapText="1"/>
    </xf>
    <xf numFmtId="0" fontId="20" fillId="0" borderId="1" xfId="0" applyFont="1" applyBorder="1" applyAlignment="1">
      <alignment vertical="center" wrapText="1"/>
    </xf>
    <xf numFmtId="0" fontId="20" fillId="0" borderId="0" xfId="0" applyFont="1" applyBorder="1" applyAlignment="1">
      <alignment vertical="top" wrapText="1"/>
    </xf>
    <xf numFmtId="0" fontId="14" fillId="2" borderId="1" xfId="0" applyFont="1" applyFill="1" applyBorder="1" applyAlignment="1">
      <alignment vertical="center"/>
    </xf>
    <xf numFmtId="0" fontId="14" fillId="6" borderId="1" xfId="0" applyFont="1" applyFill="1" applyBorder="1" applyAlignment="1">
      <alignment vertical="center" wrapText="1"/>
    </xf>
    <xf numFmtId="0" fontId="14" fillId="2" borderId="1" xfId="0" applyFont="1" applyFill="1" applyBorder="1" applyAlignment="1">
      <alignment vertical="center" wrapText="1"/>
    </xf>
    <xf numFmtId="0" fontId="16" fillId="7" borderId="1" xfId="0" applyFont="1" applyFill="1" applyBorder="1" applyAlignment="1">
      <alignment vertical="center" wrapText="1"/>
    </xf>
    <xf numFmtId="0" fontId="14" fillId="7" borderId="1" xfId="0" applyFont="1" applyFill="1" applyBorder="1" applyAlignment="1">
      <alignment vertical="center" wrapText="1"/>
    </xf>
    <xf numFmtId="0" fontId="18" fillId="0" borderId="0" xfId="0" applyFont="1" applyAlignment="1">
      <alignment horizontal="center"/>
    </xf>
    <xf numFmtId="165" fontId="15" fillId="0" borderId="0" xfId="0" applyNumberFormat="1" applyFont="1"/>
    <xf numFmtId="0" fontId="0" fillId="0" borderId="1" xfId="0" applyBorder="1"/>
    <xf numFmtId="164" fontId="15" fillId="0" borderId="0" xfId="0" applyNumberFormat="1" applyFont="1"/>
    <xf numFmtId="17" fontId="16" fillId="0" borderId="1"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1" fontId="8" fillId="0" borderId="1" xfId="0" applyNumberFormat="1" applyFont="1" applyFill="1" applyBorder="1" applyAlignment="1">
      <alignment vertical="center" wrapText="1"/>
    </xf>
    <xf numFmtId="2" fontId="16" fillId="0" borderId="1" xfId="0" applyNumberFormat="1" applyFont="1" applyBorder="1" applyAlignment="1">
      <alignment horizontal="center" vertical="center" wrapText="1"/>
    </xf>
    <xf numFmtId="0" fontId="18" fillId="0" borderId="1" xfId="0" applyFont="1" applyBorder="1"/>
    <xf numFmtId="0" fontId="21" fillId="0" borderId="1" xfId="0" applyFont="1" applyBorder="1"/>
    <xf numFmtId="0" fontId="0" fillId="0" borderId="0" xfId="0" applyFill="1"/>
    <xf numFmtId="0" fontId="16" fillId="0" borderId="1" xfId="0" applyFont="1" applyFill="1" applyBorder="1" applyAlignment="1">
      <alignment vertical="center"/>
    </xf>
    <xf numFmtId="0" fontId="8" fillId="0" borderId="0" xfId="0" applyFont="1" applyFill="1" applyBorder="1" applyAlignment="1">
      <alignment vertical="center"/>
    </xf>
    <xf numFmtId="0" fontId="16" fillId="0" borderId="1" xfId="0" applyFont="1" applyFill="1" applyBorder="1" applyAlignment="1">
      <alignment vertical="top" wrapText="1"/>
    </xf>
    <xf numFmtId="0" fontId="22" fillId="0" borderId="1" xfId="0" applyFont="1" applyFill="1" applyBorder="1" applyAlignment="1">
      <alignment vertical="center" wrapText="1"/>
    </xf>
    <xf numFmtId="0" fontId="16" fillId="0" borderId="1" xfId="0" applyFont="1" applyFill="1" applyBorder="1" applyAlignment="1">
      <alignment horizontal="right" vertical="top" wrapText="1"/>
    </xf>
    <xf numFmtId="0" fontId="16" fillId="5" borderId="1" xfId="0" applyFont="1" applyFill="1" applyBorder="1" applyAlignment="1">
      <alignment vertical="center"/>
    </xf>
    <xf numFmtId="2" fontId="8" fillId="5" borderId="1" xfId="0" applyNumberFormat="1" applyFont="1" applyFill="1" applyBorder="1" applyAlignment="1">
      <alignment vertical="center" wrapText="1"/>
    </xf>
    <xf numFmtId="164" fontId="2" fillId="0" borderId="1" xfId="0" applyNumberFormat="1" applyFont="1" applyBorder="1" applyAlignment="1">
      <alignment vertical="top" wrapText="1"/>
    </xf>
    <xf numFmtId="2" fontId="2" fillId="0" borderId="1" xfId="0" applyNumberFormat="1" applyFont="1" applyBorder="1" applyAlignment="1">
      <alignment vertical="top" wrapText="1"/>
    </xf>
    <xf numFmtId="2" fontId="8" fillId="0" borderId="1" xfId="0" applyNumberFormat="1" applyFont="1" applyBorder="1" applyAlignment="1">
      <alignment vertical="center"/>
    </xf>
    <xf numFmtId="0" fontId="8" fillId="0" borderId="1" xfId="0" applyFont="1" applyFill="1" applyBorder="1"/>
    <xf numFmtId="1" fontId="8" fillId="0" borderId="1" xfId="0" applyNumberFormat="1" applyFont="1" applyBorder="1"/>
    <xf numFmtId="0" fontId="15" fillId="0" borderId="0" xfId="0" applyFont="1" applyFill="1"/>
    <xf numFmtId="0" fontId="20" fillId="0" borderId="1" xfId="0" applyFont="1" applyFill="1" applyBorder="1" applyAlignment="1">
      <alignment vertical="top" wrapText="1"/>
    </xf>
    <xf numFmtId="0" fontId="10"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8" fillId="0" borderId="0" xfId="0" applyFont="1" applyFill="1"/>
    <xf numFmtId="2" fontId="0" fillId="0" borderId="0" xfId="0" applyNumberFormat="1" applyFill="1"/>
    <xf numFmtId="0" fontId="8" fillId="0" borderId="1" xfId="0" applyFont="1" applyFill="1" applyBorder="1" applyAlignment="1">
      <alignment horizontal="center" vertical="center" wrapText="1"/>
    </xf>
    <xf numFmtId="0" fontId="0" fillId="0" borderId="0" xfId="0" applyFill="1" applyBorder="1"/>
    <xf numFmtId="0" fontId="20" fillId="0" borderId="0" xfId="0" applyFont="1" applyFill="1" applyBorder="1" applyAlignment="1">
      <alignment vertical="top" wrapText="1"/>
    </xf>
    <xf numFmtId="2" fontId="16" fillId="0" borderId="1" xfId="0" applyNumberFormat="1" applyFont="1" applyFill="1" applyBorder="1" applyAlignment="1">
      <alignment vertical="center"/>
    </xf>
    <xf numFmtId="0" fontId="16" fillId="0" borderId="1" xfId="0" applyFont="1" applyFill="1" applyBorder="1"/>
    <xf numFmtId="0" fontId="16" fillId="0" borderId="1" xfId="0" applyFont="1" applyFill="1" applyBorder="1" applyAlignment="1">
      <alignment wrapText="1"/>
    </xf>
    <xf numFmtId="0" fontId="8" fillId="0" borderId="1" xfId="0" applyFont="1" applyFill="1" applyBorder="1" applyAlignment="1">
      <alignment wrapText="1"/>
    </xf>
    <xf numFmtId="0" fontId="17" fillId="0" borderId="1" xfId="0" applyFont="1" applyFill="1" applyBorder="1" applyAlignment="1">
      <alignment vertical="top" wrapText="1"/>
    </xf>
    <xf numFmtId="0" fontId="2" fillId="0" borderId="1" xfId="0" applyFont="1" applyFill="1" applyBorder="1" applyAlignment="1">
      <alignment vertical="top" wrapText="1"/>
    </xf>
    <xf numFmtId="2" fontId="16" fillId="0" borderId="1" xfId="0" applyNumberFormat="1" applyFont="1" applyFill="1" applyBorder="1" applyAlignment="1">
      <alignment vertical="top" wrapText="1"/>
    </xf>
    <xf numFmtId="2" fontId="17" fillId="0" borderId="1" xfId="0" applyNumberFormat="1" applyFont="1" applyFill="1" applyBorder="1" applyAlignment="1">
      <alignment vertical="top" wrapText="1"/>
    </xf>
    <xf numFmtId="164" fontId="17" fillId="0" borderId="1" xfId="0" applyNumberFormat="1" applyFont="1" applyFill="1" applyBorder="1" applyAlignment="1">
      <alignment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xf numFmtId="0" fontId="19" fillId="0" borderId="0" xfId="0" applyFont="1"/>
    <xf numFmtId="0" fontId="3" fillId="0" borderId="0" xfId="0" applyFont="1"/>
    <xf numFmtId="0" fontId="3" fillId="0" borderId="0" xfId="0" applyFont="1" applyAlignment="1">
      <alignment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1"/>
  <sheetViews>
    <sheetView workbookViewId="0">
      <pane ySplit="9" topLeftCell="A13" activePane="bottomLeft" state="frozen"/>
      <selection pane="bottomLeft" activeCell="R195" sqref="R195"/>
    </sheetView>
  </sheetViews>
  <sheetFormatPr defaultRowHeight="15" x14ac:dyDescent="0.25"/>
  <cols>
    <col min="1" max="1" width="4.28515625" style="7" customWidth="1"/>
    <col min="3" max="3" width="19.42578125" customWidth="1"/>
    <col min="4" max="4" width="9.140625" customWidth="1"/>
    <col min="5" max="5" width="8" customWidth="1"/>
    <col min="6" max="6" width="7.85546875" customWidth="1"/>
    <col min="7" max="7" width="9.140625" customWidth="1"/>
    <col min="8" max="8" width="10.140625" bestFit="1" customWidth="1"/>
    <col min="9" max="9" width="10" bestFit="1" customWidth="1"/>
    <col min="10" max="11" width="11.140625" bestFit="1" customWidth="1"/>
    <col min="12" max="12" width="10.42578125" customWidth="1"/>
    <col min="13" max="13" width="10.5703125" customWidth="1"/>
    <col min="14" max="14" width="10.42578125" bestFit="1" customWidth="1"/>
    <col min="15" max="15" width="9.42578125" bestFit="1" customWidth="1"/>
    <col min="16" max="16" width="9.5703125" customWidth="1"/>
    <col min="17" max="17" width="9.42578125" bestFit="1" customWidth="1"/>
    <col min="18" max="18" width="12.140625" bestFit="1" customWidth="1"/>
    <col min="19" max="19" width="12" customWidth="1"/>
    <col min="20" max="20" width="11.85546875" customWidth="1"/>
    <col min="21" max="21" width="12.5703125" customWidth="1"/>
    <col min="22" max="22" width="13" customWidth="1"/>
  </cols>
  <sheetData>
    <row r="1" spans="2:19" ht="15.75" customHeight="1" x14ac:dyDescent="0.25">
      <c r="P1" s="146" t="s">
        <v>142</v>
      </c>
      <c r="Q1" s="146"/>
      <c r="R1" s="146"/>
      <c r="S1" s="146"/>
    </row>
    <row r="2" spans="2:19" ht="15.75" customHeight="1" x14ac:dyDescent="0.25">
      <c r="P2" s="147" t="s">
        <v>24</v>
      </c>
      <c r="Q2" s="147"/>
      <c r="R2" s="147"/>
      <c r="S2" s="147"/>
    </row>
    <row r="3" spans="2:19" ht="15.75" customHeight="1" x14ac:dyDescent="0.25">
      <c r="P3" s="147" t="s">
        <v>25</v>
      </c>
      <c r="Q3" s="147"/>
      <c r="R3" s="147"/>
      <c r="S3" s="147"/>
    </row>
    <row r="5" spans="2:19" ht="15.75" x14ac:dyDescent="0.25">
      <c r="B5" s="145" t="s">
        <v>1</v>
      </c>
      <c r="C5" s="145"/>
      <c r="D5" s="145"/>
      <c r="E5" s="145"/>
      <c r="F5" s="145"/>
      <c r="G5" s="145"/>
      <c r="H5" s="145"/>
      <c r="I5" s="145"/>
      <c r="J5" s="145"/>
      <c r="K5" s="145"/>
      <c r="L5" s="145"/>
      <c r="M5" s="145"/>
      <c r="N5" s="145"/>
      <c r="O5" s="145"/>
      <c r="P5" s="145"/>
      <c r="Q5" s="145"/>
      <c r="R5" s="145"/>
      <c r="S5" s="145"/>
    </row>
    <row r="6" spans="2:19" x14ac:dyDescent="0.25">
      <c r="B6" s="2"/>
      <c r="C6" s="2"/>
      <c r="D6" s="2"/>
      <c r="E6" s="2"/>
      <c r="F6" s="2"/>
      <c r="G6" s="2"/>
      <c r="H6" s="2"/>
      <c r="I6" s="2"/>
      <c r="J6" s="2"/>
      <c r="K6" s="2"/>
      <c r="L6" s="2"/>
      <c r="M6" s="2"/>
      <c r="N6" s="2"/>
      <c r="O6" s="2"/>
    </row>
    <row r="7" spans="2:19" ht="15.75" x14ac:dyDescent="0.25">
      <c r="B7" s="1" t="s">
        <v>0</v>
      </c>
    </row>
    <row r="8" spans="2:19" ht="38.25" customHeight="1" x14ac:dyDescent="0.25">
      <c r="B8" s="9"/>
      <c r="C8" s="9"/>
      <c r="D8" s="148" t="s">
        <v>2</v>
      </c>
      <c r="E8" s="148"/>
      <c r="F8" s="148" t="s">
        <v>3</v>
      </c>
      <c r="G8" s="148"/>
      <c r="H8" s="148" t="s">
        <v>4</v>
      </c>
      <c r="I8" s="148"/>
      <c r="J8" s="148" t="s">
        <v>5</v>
      </c>
      <c r="K8" s="148"/>
      <c r="L8" s="148" t="s">
        <v>6</v>
      </c>
      <c r="M8" s="148"/>
      <c r="N8" s="148" t="s">
        <v>7</v>
      </c>
      <c r="O8" s="148"/>
      <c r="P8" s="148" t="s">
        <v>8</v>
      </c>
      <c r="Q8" s="148"/>
      <c r="R8" s="149" t="s">
        <v>9</v>
      </c>
      <c r="S8" s="149"/>
    </row>
    <row r="9" spans="2:19" x14ac:dyDescent="0.25">
      <c r="B9" s="11" t="s">
        <v>10</v>
      </c>
      <c r="C9" s="11" t="s">
        <v>11</v>
      </c>
      <c r="D9" s="11" t="s">
        <v>12</v>
      </c>
      <c r="E9" s="11" t="s">
        <v>13</v>
      </c>
      <c r="F9" s="11" t="s">
        <v>12</v>
      </c>
      <c r="G9" s="11" t="s">
        <v>13</v>
      </c>
      <c r="H9" s="11" t="s">
        <v>12</v>
      </c>
      <c r="I9" s="11" t="s">
        <v>13</v>
      </c>
      <c r="J9" s="11" t="s">
        <v>12</v>
      </c>
      <c r="K9" s="11" t="s">
        <v>13</v>
      </c>
      <c r="L9" s="11" t="s">
        <v>12</v>
      </c>
      <c r="M9" s="11" t="s">
        <v>13</v>
      </c>
      <c r="N9" s="11" t="s">
        <v>12</v>
      </c>
      <c r="O9" s="11" t="s">
        <v>13</v>
      </c>
      <c r="P9" s="11" t="s">
        <v>12</v>
      </c>
      <c r="Q9" s="11" t="s">
        <v>13</v>
      </c>
      <c r="R9" s="11" t="s">
        <v>12</v>
      </c>
      <c r="S9" s="11" t="s">
        <v>13</v>
      </c>
    </row>
    <row r="10" spans="2:19" ht="38.25" x14ac:dyDescent="0.25">
      <c r="B10" s="70" t="s">
        <v>14</v>
      </c>
      <c r="C10" s="70" t="s">
        <v>971</v>
      </c>
      <c r="D10" s="70">
        <f>D11+D38</f>
        <v>0</v>
      </c>
      <c r="E10" s="70">
        <f t="shared" ref="E10:S10" si="0">E11+E38</f>
        <v>0</v>
      </c>
      <c r="F10" s="70">
        <f t="shared" si="0"/>
        <v>0</v>
      </c>
      <c r="G10" s="70">
        <f t="shared" si="0"/>
        <v>0</v>
      </c>
      <c r="H10" s="70">
        <f t="shared" si="0"/>
        <v>3433611</v>
      </c>
      <c r="I10" s="70">
        <f t="shared" si="0"/>
        <v>2856158</v>
      </c>
      <c r="J10" s="70">
        <f t="shared" si="0"/>
        <v>9322673.1499999985</v>
      </c>
      <c r="K10" s="70">
        <f t="shared" si="0"/>
        <v>7905925.1600000001</v>
      </c>
      <c r="L10" s="70">
        <f t="shared" si="0"/>
        <v>8112164.2200000007</v>
      </c>
      <c r="M10" s="70">
        <f t="shared" si="0"/>
        <v>6285450.8200000003</v>
      </c>
      <c r="N10" s="70">
        <f t="shared" si="0"/>
        <v>2210505.29</v>
      </c>
      <c r="O10" s="70">
        <f t="shared" si="0"/>
        <v>1878928.5899999999</v>
      </c>
      <c r="P10" s="70">
        <f t="shared" si="0"/>
        <v>0</v>
      </c>
      <c r="Q10" s="70">
        <f t="shared" si="0"/>
        <v>0</v>
      </c>
      <c r="R10" s="70">
        <f t="shared" si="0"/>
        <v>23078953.66</v>
      </c>
      <c r="S10" s="70">
        <f t="shared" si="0"/>
        <v>18926462.57</v>
      </c>
    </row>
    <row r="11" spans="2:19" ht="131.25" customHeight="1" x14ac:dyDescent="0.25">
      <c r="B11" s="12" t="s">
        <v>15</v>
      </c>
      <c r="C11" s="33" t="s">
        <v>150</v>
      </c>
      <c r="D11" s="44">
        <v>0</v>
      </c>
      <c r="E11" s="44">
        <v>0</v>
      </c>
      <c r="F11" s="44">
        <v>0</v>
      </c>
      <c r="G11" s="44">
        <f>G12+G32+G35</f>
        <v>0</v>
      </c>
      <c r="H11" s="44">
        <f t="shared" ref="H11:S11" si="1">H12+H32+H35</f>
        <v>3383611</v>
      </c>
      <c r="I11" s="44">
        <f t="shared" si="1"/>
        <v>2813658</v>
      </c>
      <c r="J11" s="44">
        <f t="shared" si="1"/>
        <v>6006302.1099999994</v>
      </c>
      <c r="K11" s="44">
        <f t="shared" si="1"/>
        <v>5095510.33</v>
      </c>
      <c r="L11" s="99">
        <f t="shared" si="1"/>
        <v>4555730.08</v>
      </c>
      <c r="M11" s="99">
        <f t="shared" si="1"/>
        <v>3408612.7199999997</v>
      </c>
      <c r="N11" s="99">
        <f t="shared" si="1"/>
        <v>1726424</v>
      </c>
      <c r="O11" s="99">
        <f t="shared" si="1"/>
        <v>1467459.5</v>
      </c>
      <c r="P11" s="99">
        <f t="shared" si="1"/>
        <v>0</v>
      </c>
      <c r="Q11" s="99">
        <f t="shared" si="1"/>
        <v>0</v>
      </c>
      <c r="R11" s="99">
        <f t="shared" si="1"/>
        <v>15672067.189999999</v>
      </c>
      <c r="S11" s="99">
        <f t="shared" si="1"/>
        <v>12785240.549999999</v>
      </c>
    </row>
    <row r="12" spans="2:19" ht="94.5" customHeight="1" x14ac:dyDescent="0.25">
      <c r="B12" s="13" t="s">
        <v>16</v>
      </c>
      <c r="C12" s="28" t="s">
        <v>151</v>
      </c>
      <c r="D12" s="28">
        <v>0</v>
      </c>
      <c r="E12" s="28">
        <v>0</v>
      </c>
      <c r="F12" s="28">
        <v>0</v>
      </c>
      <c r="G12" s="28">
        <v>0</v>
      </c>
      <c r="H12" s="28">
        <f t="shared" ref="H12:S12" si="2">SUM(H28,H13)</f>
        <v>3383611</v>
      </c>
      <c r="I12" s="28">
        <f t="shared" si="2"/>
        <v>2813658</v>
      </c>
      <c r="J12" s="28">
        <f>SUM(J28,J13)</f>
        <v>5101575.1099999994</v>
      </c>
      <c r="K12" s="28">
        <f t="shared" si="2"/>
        <v>4326492.33</v>
      </c>
      <c r="L12" s="42">
        <f t="shared" si="2"/>
        <v>4555730.08</v>
      </c>
      <c r="M12" s="42">
        <f t="shared" si="2"/>
        <v>3408612.7199999997</v>
      </c>
      <c r="N12" s="42">
        <f t="shared" si="2"/>
        <v>1726424</v>
      </c>
      <c r="O12" s="42">
        <f t="shared" si="2"/>
        <v>1467459.5</v>
      </c>
      <c r="P12" s="42">
        <f t="shared" si="2"/>
        <v>0</v>
      </c>
      <c r="Q12" s="42">
        <f t="shared" si="2"/>
        <v>0</v>
      </c>
      <c r="R12" s="42">
        <f t="shared" si="2"/>
        <v>14767340.189999999</v>
      </c>
      <c r="S12" s="41">
        <f t="shared" si="2"/>
        <v>12016222.549999999</v>
      </c>
    </row>
    <row r="13" spans="2:19" ht="28.5" customHeight="1" x14ac:dyDescent="0.25">
      <c r="B13" s="118" t="s">
        <v>17</v>
      </c>
      <c r="C13" s="79" t="s">
        <v>152</v>
      </c>
      <c r="D13" s="79">
        <f t="shared" ref="D13:R13" si="3">SUM(D14:D27)</f>
        <v>0</v>
      </c>
      <c r="E13" s="79">
        <f t="shared" si="3"/>
        <v>0</v>
      </c>
      <c r="F13" s="79">
        <f t="shared" si="3"/>
        <v>0</v>
      </c>
      <c r="G13" s="79">
        <f t="shared" si="3"/>
        <v>0</v>
      </c>
      <c r="H13" s="79">
        <f>SUM(H14:H27)</f>
        <v>579303</v>
      </c>
      <c r="I13" s="79">
        <f t="shared" si="3"/>
        <v>492354</v>
      </c>
      <c r="J13" s="79">
        <f t="shared" si="3"/>
        <v>4820314.1099999994</v>
      </c>
      <c r="K13" s="79">
        <f t="shared" si="3"/>
        <v>4087420.33</v>
      </c>
      <c r="L13" s="79">
        <f t="shared" si="3"/>
        <v>4555730.08</v>
      </c>
      <c r="M13" s="79">
        <f t="shared" si="3"/>
        <v>3408612.7199999997</v>
      </c>
      <c r="N13" s="79">
        <f t="shared" si="3"/>
        <v>1726424</v>
      </c>
      <c r="O13" s="79">
        <f t="shared" si="3"/>
        <v>1467459.5</v>
      </c>
      <c r="P13" s="79">
        <f t="shared" si="3"/>
        <v>0</v>
      </c>
      <c r="Q13" s="79">
        <f t="shared" si="3"/>
        <v>0</v>
      </c>
      <c r="R13" s="79">
        <f t="shared" si="3"/>
        <v>11681771.189999999</v>
      </c>
      <c r="S13" s="118">
        <f>SUM(S14:S27)</f>
        <v>9455846.5499999989</v>
      </c>
    </row>
    <row r="14" spans="2:19" s="7" customFormat="1" ht="44.25" hidden="1" customHeight="1" x14ac:dyDescent="0.25">
      <c r="B14" s="77" t="s">
        <v>50</v>
      </c>
      <c r="C14" s="78" t="s">
        <v>153</v>
      </c>
      <c r="D14" s="78">
        <v>0</v>
      </c>
      <c r="E14" s="78">
        <v>0</v>
      </c>
      <c r="F14" s="78">
        <v>0</v>
      </c>
      <c r="G14" s="78">
        <v>0</v>
      </c>
      <c r="H14" s="78">
        <v>0</v>
      </c>
      <c r="I14" s="78">
        <v>0</v>
      </c>
      <c r="J14" s="78">
        <v>0</v>
      </c>
      <c r="K14" s="78">
        <v>0</v>
      </c>
      <c r="L14" s="78">
        <f>'2 lentelė'!L11</f>
        <v>1695774</v>
      </c>
      <c r="M14" s="78">
        <f>'2 lentelė'!Q11</f>
        <v>1441408</v>
      </c>
      <c r="N14" s="78">
        <v>0</v>
      </c>
      <c r="O14" s="78">
        <v>0</v>
      </c>
      <c r="P14" s="78">
        <v>0</v>
      </c>
      <c r="Q14" s="78">
        <v>0</v>
      </c>
      <c r="R14" s="78">
        <f>D14+F14+H14+J14+L14+N14+P14</f>
        <v>1695774</v>
      </c>
      <c r="S14" s="77">
        <f>E14+G14+I14+K14+M14+O14+Q14</f>
        <v>1441408</v>
      </c>
    </row>
    <row r="15" spans="2:19" s="7" customFormat="1" ht="45" hidden="1" customHeight="1" x14ac:dyDescent="0.25">
      <c r="B15" s="77" t="s">
        <v>51</v>
      </c>
      <c r="C15" s="78" t="s">
        <v>154</v>
      </c>
      <c r="D15" s="78">
        <v>0</v>
      </c>
      <c r="E15" s="78">
        <v>0</v>
      </c>
      <c r="F15" s="78">
        <v>0</v>
      </c>
      <c r="G15" s="78">
        <v>0</v>
      </c>
      <c r="H15" s="78">
        <v>0</v>
      </c>
      <c r="I15" s="78">
        <v>0</v>
      </c>
      <c r="J15" s="78">
        <f>'2 lentelė'!L12</f>
        <v>1036756</v>
      </c>
      <c r="K15" s="78">
        <f>'2 lentelė'!Q12</f>
        <v>881242</v>
      </c>
      <c r="L15" s="78">
        <v>0</v>
      </c>
      <c r="M15" s="78">
        <v>0</v>
      </c>
      <c r="N15" s="78">
        <v>0</v>
      </c>
      <c r="O15" s="78">
        <v>0</v>
      </c>
      <c r="P15" s="78">
        <v>0</v>
      </c>
      <c r="Q15" s="78">
        <v>0</v>
      </c>
      <c r="R15" s="78">
        <f>D15+F15+H15+J15+L15+N15+P15</f>
        <v>1036756</v>
      </c>
      <c r="S15" s="77">
        <f t="shared" ref="S15:S27" si="4">E15+G15+I15+K15+M15+O15+Q15</f>
        <v>881242</v>
      </c>
    </row>
    <row r="16" spans="2:19" s="7" customFormat="1" ht="62.25" hidden="1" customHeight="1" x14ac:dyDescent="0.25">
      <c r="B16" s="77" t="s">
        <v>155</v>
      </c>
      <c r="C16" s="78" t="s">
        <v>156</v>
      </c>
      <c r="D16" s="78">
        <v>0</v>
      </c>
      <c r="E16" s="78">
        <v>0</v>
      </c>
      <c r="F16" s="78">
        <v>0</v>
      </c>
      <c r="G16" s="78">
        <v>0</v>
      </c>
      <c r="H16" s="78">
        <v>0</v>
      </c>
      <c r="I16" s="78">
        <v>0</v>
      </c>
      <c r="J16" s="78">
        <f>'2 lentelė'!L13</f>
        <v>672604.19</v>
      </c>
      <c r="K16" s="78">
        <f>'2 lentelė'!Q13</f>
        <v>571713.55000000005</v>
      </c>
      <c r="L16" s="78">
        <v>0</v>
      </c>
      <c r="M16" s="78">
        <v>0</v>
      </c>
      <c r="N16" s="78">
        <v>0</v>
      </c>
      <c r="O16" s="78">
        <v>0</v>
      </c>
      <c r="P16" s="78">
        <v>0</v>
      </c>
      <c r="Q16" s="78">
        <v>0</v>
      </c>
      <c r="R16" s="78">
        <f t="shared" ref="R16:R27" si="5">D16+F16+H16+J16+L16+N16+P16</f>
        <v>672604.19</v>
      </c>
      <c r="S16" s="77">
        <f t="shared" si="4"/>
        <v>571713.55000000005</v>
      </c>
    </row>
    <row r="17" spans="2:19" s="7" customFormat="1" ht="57.75" hidden="1" customHeight="1" x14ac:dyDescent="0.25">
      <c r="B17" s="77" t="s">
        <v>157</v>
      </c>
      <c r="C17" s="78" t="s">
        <v>158</v>
      </c>
      <c r="D17" s="78">
        <v>0</v>
      </c>
      <c r="E17" s="78">
        <v>0</v>
      </c>
      <c r="F17" s="78">
        <v>0</v>
      </c>
      <c r="G17" s="78">
        <v>0</v>
      </c>
      <c r="H17" s="78">
        <v>0</v>
      </c>
      <c r="I17" s="78">
        <v>0</v>
      </c>
      <c r="J17" s="78">
        <v>0</v>
      </c>
      <c r="K17" s="78">
        <v>0</v>
      </c>
      <c r="L17" s="78">
        <v>0</v>
      </c>
      <c r="M17" s="78">
        <v>0</v>
      </c>
      <c r="N17" s="78">
        <f>'2 lentelė'!L14</f>
        <v>1426434</v>
      </c>
      <c r="O17" s="78">
        <f>'2 lentelė'!Q14</f>
        <v>1212468</v>
      </c>
      <c r="P17" s="78">
        <v>0</v>
      </c>
      <c r="Q17" s="78">
        <v>0</v>
      </c>
      <c r="R17" s="78">
        <f t="shared" si="5"/>
        <v>1426434</v>
      </c>
      <c r="S17" s="77">
        <f t="shared" si="4"/>
        <v>1212468</v>
      </c>
    </row>
    <row r="18" spans="2:19" s="7" customFormat="1" ht="69.75" hidden="1" customHeight="1" x14ac:dyDescent="0.25">
      <c r="B18" s="77" t="s">
        <v>159</v>
      </c>
      <c r="C18" s="78" t="s">
        <v>160</v>
      </c>
      <c r="D18" s="78">
        <v>0</v>
      </c>
      <c r="E18" s="78">
        <v>0</v>
      </c>
      <c r="F18" s="78">
        <v>0</v>
      </c>
      <c r="G18" s="78">
        <v>0</v>
      </c>
      <c r="H18" s="78">
        <f>'2 lentelė'!L15</f>
        <v>579303</v>
      </c>
      <c r="I18" s="78">
        <f>'2 lentelė'!Q15</f>
        <v>492354</v>
      </c>
      <c r="J18" s="78">
        <v>0</v>
      </c>
      <c r="K18" s="78">
        <v>0</v>
      </c>
      <c r="L18" s="78">
        <v>0</v>
      </c>
      <c r="M18" s="78">
        <v>0</v>
      </c>
      <c r="N18" s="78">
        <v>0</v>
      </c>
      <c r="O18" s="78">
        <v>0</v>
      </c>
      <c r="P18" s="78">
        <v>0</v>
      </c>
      <c r="Q18" s="78">
        <v>0</v>
      </c>
      <c r="R18" s="78">
        <f t="shared" si="5"/>
        <v>579303</v>
      </c>
      <c r="S18" s="77">
        <f t="shared" si="4"/>
        <v>492354</v>
      </c>
    </row>
    <row r="19" spans="2:19" s="7" customFormat="1" ht="41.25" hidden="1" customHeight="1" x14ac:dyDescent="0.25">
      <c r="B19" s="77" t="s">
        <v>161</v>
      </c>
      <c r="C19" s="78" t="s">
        <v>162</v>
      </c>
      <c r="D19" s="78">
        <v>0</v>
      </c>
      <c r="E19" s="78">
        <v>0</v>
      </c>
      <c r="F19" s="78">
        <v>0</v>
      </c>
      <c r="G19" s="78">
        <v>0</v>
      </c>
      <c r="H19" s="78">
        <v>0</v>
      </c>
      <c r="I19" s="78">
        <v>0</v>
      </c>
      <c r="J19" s="78">
        <v>0</v>
      </c>
      <c r="K19" s="78">
        <v>0</v>
      </c>
      <c r="L19" s="78">
        <f>'2 lentelė'!L16</f>
        <v>282353</v>
      </c>
      <c r="M19" s="78">
        <f>'2 lentelė'!Q16</f>
        <v>240000</v>
      </c>
      <c r="N19" s="78">
        <v>0</v>
      </c>
      <c r="O19" s="78">
        <v>0</v>
      </c>
      <c r="P19" s="78">
        <v>0</v>
      </c>
      <c r="Q19" s="78">
        <v>0</v>
      </c>
      <c r="R19" s="78">
        <f>D19+F19+H19+J19+L19+N19+P19</f>
        <v>282353</v>
      </c>
      <c r="S19" s="77">
        <f>E19+G19+I19+K19+M19+O19+Q19</f>
        <v>240000</v>
      </c>
    </row>
    <row r="20" spans="2:19" s="7" customFormat="1" ht="54" hidden="1" customHeight="1" x14ac:dyDescent="0.25">
      <c r="B20" s="77" t="s">
        <v>163</v>
      </c>
      <c r="C20" s="78" t="s">
        <v>164</v>
      </c>
      <c r="D20" s="78">
        <v>0</v>
      </c>
      <c r="E20" s="78">
        <v>0</v>
      </c>
      <c r="F20" s="78">
        <v>0</v>
      </c>
      <c r="G20" s="78">
        <v>0</v>
      </c>
      <c r="H20" s="78">
        <v>0</v>
      </c>
      <c r="I20" s="78">
        <v>0</v>
      </c>
      <c r="J20" s="78">
        <v>0</v>
      </c>
      <c r="K20" s="78">
        <v>0</v>
      </c>
      <c r="L20" s="78">
        <f>'2 lentelė'!L17</f>
        <v>827649.08</v>
      </c>
      <c r="M20" s="78">
        <f>'2 lentelė'!Q17</f>
        <v>703501.72</v>
      </c>
      <c r="N20" s="78">
        <v>0</v>
      </c>
      <c r="O20" s="78">
        <v>0</v>
      </c>
      <c r="P20" s="78">
        <v>0</v>
      </c>
      <c r="Q20" s="78">
        <v>0</v>
      </c>
      <c r="R20" s="78">
        <f t="shared" si="5"/>
        <v>827649.08</v>
      </c>
      <c r="S20" s="77">
        <f t="shared" si="4"/>
        <v>703501.72</v>
      </c>
    </row>
    <row r="21" spans="2:19" s="7" customFormat="1" ht="105" hidden="1" customHeight="1" x14ac:dyDescent="0.25">
      <c r="B21" s="77" t="s">
        <v>165</v>
      </c>
      <c r="C21" s="78" t="s">
        <v>166</v>
      </c>
      <c r="D21" s="78">
        <v>0</v>
      </c>
      <c r="E21" s="78">
        <v>0</v>
      </c>
      <c r="F21" s="78">
        <v>0</v>
      </c>
      <c r="G21" s="78">
        <v>0</v>
      </c>
      <c r="H21" s="78">
        <v>0</v>
      </c>
      <c r="I21" s="78">
        <v>0</v>
      </c>
      <c r="J21" s="78">
        <f>'2 lentelė'!L18</f>
        <v>633181</v>
      </c>
      <c r="K21" s="78">
        <f>'2 lentelė'!Q18</f>
        <v>528358</v>
      </c>
      <c r="L21" s="78">
        <v>0</v>
      </c>
      <c r="M21" s="78">
        <v>0</v>
      </c>
      <c r="N21" s="78">
        <v>0</v>
      </c>
      <c r="O21" s="78">
        <v>0</v>
      </c>
      <c r="P21" s="78">
        <v>0</v>
      </c>
      <c r="Q21" s="78">
        <v>0</v>
      </c>
      <c r="R21" s="78">
        <f t="shared" si="5"/>
        <v>633181</v>
      </c>
      <c r="S21" s="77">
        <f t="shared" si="4"/>
        <v>528358</v>
      </c>
    </row>
    <row r="22" spans="2:19" s="7" customFormat="1" ht="49.5" hidden="1" customHeight="1" x14ac:dyDescent="0.25">
      <c r="B22" s="77" t="s">
        <v>167</v>
      </c>
      <c r="C22" s="78" t="s">
        <v>168</v>
      </c>
      <c r="D22" s="78">
        <v>0</v>
      </c>
      <c r="E22" s="78">
        <v>0</v>
      </c>
      <c r="F22" s="78">
        <v>0</v>
      </c>
      <c r="G22" s="78">
        <v>0</v>
      </c>
      <c r="H22" s="78">
        <v>0</v>
      </c>
      <c r="I22" s="78">
        <v>0</v>
      </c>
      <c r="J22" s="78">
        <v>0</v>
      </c>
      <c r="K22" s="78">
        <v>0</v>
      </c>
      <c r="L22" s="78">
        <f>'2 lentelė'!L19</f>
        <v>1140564</v>
      </c>
      <c r="M22" s="78">
        <f>'2 lentelė'!Q19</f>
        <v>700000</v>
      </c>
      <c r="N22" s="78">
        <v>0</v>
      </c>
      <c r="O22" s="78">
        <v>0</v>
      </c>
      <c r="P22" s="78">
        <v>0</v>
      </c>
      <c r="Q22" s="78">
        <v>0</v>
      </c>
      <c r="R22" s="78">
        <f>L22+N22+P22</f>
        <v>1140564</v>
      </c>
      <c r="S22" s="77">
        <f>M22+O22+Q22</f>
        <v>700000</v>
      </c>
    </row>
    <row r="23" spans="2:19" s="7" customFormat="1" ht="44.25" hidden="1" customHeight="1" x14ac:dyDescent="0.25">
      <c r="B23" s="77" t="s">
        <v>169</v>
      </c>
      <c r="C23" s="78" t="s">
        <v>170</v>
      </c>
      <c r="D23" s="78">
        <v>0</v>
      </c>
      <c r="E23" s="78">
        <v>0</v>
      </c>
      <c r="F23" s="78">
        <v>0</v>
      </c>
      <c r="G23" s="78">
        <v>0</v>
      </c>
      <c r="H23" s="78">
        <v>0</v>
      </c>
      <c r="I23" s="78">
        <v>0</v>
      </c>
      <c r="J23" s="78">
        <f>'2 lentelė'!L20</f>
        <v>1018235</v>
      </c>
      <c r="K23" s="78">
        <f>'2 lentelė'!Q20</f>
        <v>865500</v>
      </c>
      <c r="L23" s="78">
        <v>0</v>
      </c>
      <c r="M23" s="78">
        <v>0</v>
      </c>
      <c r="N23" s="78">
        <v>0</v>
      </c>
      <c r="O23" s="78">
        <v>0</v>
      </c>
      <c r="P23" s="78">
        <v>0</v>
      </c>
      <c r="Q23" s="78">
        <v>0</v>
      </c>
      <c r="R23" s="78">
        <f>D23+F23+H23+J23+L23+N23+P23</f>
        <v>1018235</v>
      </c>
      <c r="S23" s="77">
        <f t="shared" si="4"/>
        <v>865500</v>
      </c>
    </row>
    <row r="24" spans="2:19" s="7" customFormat="1" ht="68.25" hidden="1" customHeight="1" x14ac:dyDescent="0.25">
      <c r="B24" s="77" t="s">
        <v>171</v>
      </c>
      <c r="C24" s="78" t="s">
        <v>172</v>
      </c>
      <c r="D24" s="78">
        <v>0</v>
      </c>
      <c r="E24" s="78">
        <v>0</v>
      </c>
      <c r="F24" s="78">
        <v>0</v>
      </c>
      <c r="G24" s="78">
        <v>0</v>
      </c>
      <c r="H24" s="78">
        <v>0</v>
      </c>
      <c r="I24" s="78">
        <v>0</v>
      </c>
      <c r="J24" s="78">
        <v>0</v>
      </c>
      <c r="K24" s="78">
        <v>0</v>
      </c>
      <c r="L24" s="78">
        <v>0</v>
      </c>
      <c r="M24" s="78">
        <v>0</v>
      </c>
      <c r="N24" s="78">
        <f>'2 lentelė'!L21</f>
        <v>299990</v>
      </c>
      <c r="O24" s="78">
        <f>'2 lentelė'!Q21</f>
        <v>254991.5</v>
      </c>
      <c r="P24" s="78">
        <v>0</v>
      </c>
      <c r="Q24" s="78">
        <v>0</v>
      </c>
      <c r="R24" s="78">
        <f t="shared" si="5"/>
        <v>299990</v>
      </c>
      <c r="S24" s="77">
        <f t="shared" si="4"/>
        <v>254991.5</v>
      </c>
    </row>
    <row r="25" spans="2:19" s="7" customFormat="1" ht="53.25" hidden="1" customHeight="1" x14ac:dyDescent="0.25">
      <c r="B25" s="77" t="s">
        <v>173</v>
      </c>
      <c r="C25" s="78" t="s">
        <v>174</v>
      </c>
      <c r="D25" s="78">
        <v>0</v>
      </c>
      <c r="E25" s="78">
        <v>0</v>
      </c>
      <c r="F25" s="78">
        <v>0</v>
      </c>
      <c r="G25" s="78">
        <v>0</v>
      </c>
      <c r="H25" s="78">
        <v>0</v>
      </c>
      <c r="I25" s="78">
        <v>0</v>
      </c>
      <c r="J25" s="78">
        <f>'2 lentelė'!L22</f>
        <v>941177</v>
      </c>
      <c r="K25" s="78">
        <f>'2 lentelė'!Q22</f>
        <v>800000</v>
      </c>
      <c r="L25" s="78">
        <v>0</v>
      </c>
      <c r="M25" s="78">
        <v>0</v>
      </c>
      <c r="N25" s="78">
        <v>0</v>
      </c>
      <c r="O25" s="78">
        <v>0</v>
      </c>
      <c r="P25" s="78">
        <v>0</v>
      </c>
      <c r="Q25" s="78">
        <v>0</v>
      </c>
      <c r="R25" s="78">
        <f t="shared" si="5"/>
        <v>941177</v>
      </c>
      <c r="S25" s="77">
        <f t="shared" si="4"/>
        <v>800000</v>
      </c>
    </row>
    <row r="26" spans="2:19" s="7" customFormat="1" ht="64.5" hidden="1" customHeight="1" x14ac:dyDescent="0.25">
      <c r="B26" s="77" t="s">
        <v>175</v>
      </c>
      <c r="C26" s="78" t="s">
        <v>176</v>
      </c>
      <c r="D26" s="78">
        <v>0</v>
      </c>
      <c r="E26" s="78">
        <v>0</v>
      </c>
      <c r="F26" s="78">
        <v>0</v>
      </c>
      <c r="G26" s="78">
        <v>0</v>
      </c>
      <c r="H26" s="78">
        <v>0</v>
      </c>
      <c r="I26" s="78">
        <v>0</v>
      </c>
      <c r="J26" s="78">
        <v>0</v>
      </c>
      <c r="K26" s="78">
        <v>0</v>
      </c>
      <c r="L26" s="78">
        <f>'2 lentelė'!L23</f>
        <v>609390</v>
      </c>
      <c r="M26" s="78">
        <f>'2 lentelė'!Q23</f>
        <v>323703</v>
      </c>
      <c r="N26" s="78">
        <v>0</v>
      </c>
      <c r="O26" s="78">
        <v>0</v>
      </c>
      <c r="P26" s="78">
        <v>0</v>
      </c>
      <c r="Q26" s="78">
        <v>0</v>
      </c>
      <c r="R26" s="78">
        <f>D26+F26+H26+J26+L26+N26+P26</f>
        <v>609390</v>
      </c>
      <c r="S26" s="77">
        <f t="shared" si="4"/>
        <v>323703</v>
      </c>
    </row>
    <row r="27" spans="2:19" s="7" customFormat="1" ht="51" hidden="1" customHeight="1" x14ac:dyDescent="0.25">
      <c r="B27" s="15" t="s">
        <v>177</v>
      </c>
      <c r="C27" s="20" t="s">
        <v>178</v>
      </c>
      <c r="D27" s="20">
        <v>0</v>
      </c>
      <c r="E27" s="20">
        <v>0</v>
      </c>
      <c r="F27" s="20">
        <v>0</v>
      </c>
      <c r="G27" s="20">
        <v>0</v>
      </c>
      <c r="H27" s="20">
        <v>0</v>
      </c>
      <c r="I27" s="20">
        <v>0</v>
      </c>
      <c r="J27" s="20">
        <f>'2 lentelė'!L24</f>
        <v>518360.92</v>
      </c>
      <c r="K27" s="20">
        <f>'2 lentelė'!Q24</f>
        <v>440606.78</v>
      </c>
      <c r="L27" s="20">
        <v>0</v>
      </c>
      <c r="M27" s="20">
        <v>0</v>
      </c>
      <c r="N27" s="20">
        <v>0</v>
      </c>
      <c r="O27" s="20">
        <v>0</v>
      </c>
      <c r="P27" s="20">
        <v>0</v>
      </c>
      <c r="Q27" s="20">
        <v>0</v>
      </c>
      <c r="R27" s="20">
        <f t="shared" si="5"/>
        <v>518360.92</v>
      </c>
      <c r="S27" s="15">
        <f t="shared" si="4"/>
        <v>440606.78</v>
      </c>
    </row>
    <row r="28" spans="2:19" ht="43.5" hidden="1" customHeight="1" x14ac:dyDescent="0.25">
      <c r="B28" s="29" t="s">
        <v>18</v>
      </c>
      <c r="C28" s="30" t="s">
        <v>179</v>
      </c>
      <c r="D28" s="30">
        <v>0</v>
      </c>
      <c r="E28" s="30">
        <v>0</v>
      </c>
      <c r="F28" s="30">
        <v>0</v>
      </c>
      <c r="G28" s="30">
        <v>0</v>
      </c>
      <c r="H28" s="30">
        <f t="shared" ref="H28:R28" si="6">SUM(H29:H31)</f>
        <v>2804308</v>
      </c>
      <c r="I28" s="30">
        <f t="shared" si="6"/>
        <v>2321304</v>
      </c>
      <c r="J28" s="30">
        <f t="shared" si="6"/>
        <v>281261</v>
      </c>
      <c r="K28" s="30">
        <f t="shared" si="6"/>
        <v>239072</v>
      </c>
      <c r="L28" s="30">
        <f t="shared" si="6"/>
        <v>0</v>
      </c>
      <c r="M28" s="30">
        <f t="shared" si="6"/>
        <v>0</v>
      </c>
      <c r="N28" s="30">
        <f t="shared" si="6"/>
        <v>0</v>
      </c>
      <c r="O28" s="30">
        <f t="shared" si="6"/>
        <v>0</v>
      </c>
      <c r="P28" s="30">
        <f t="shared" si="6"/>
        <v>0</v>
      </c>
      <c r="Q28" s="30">
        <f t="shared" si="6"/>
        <v>0</v>
      </c>
      <c r="R28" s="30">
        <f t="shared" si="6"/>
        <v>3085569</v>
      </c>
      <c r="S28" s="29">
        <f>SUM(S29:S31)</f>
        <v>2560376</v>
      </c>
    </row>
    <row r="29" spans="2:19" s="7" customFormat="1" ht="57.75" hidden="1" customHeight="1" x14ac:dyDescent="0.25">
      <c r="B29" s="31" t="s">
        <v>53</v>
      </c>
      <c r="C29" s="32" t="s">
        <v>180</v>
      </c>
      <c r="D29" s="32">
        <v>0</v>
      </c>
      <c r="E29" s="32">
        <v>0</v>
      </c>
      <c r="F29" s="32">
        <v>0</v>
      </c>
      <c r="G29" s="32">
        <v>0</v>
      </c>
      <c r="H29" s="32">
        <v>0</v>
      </c>
      <c r="I29" s="32">
        <v>0</v>
      </c>
      <c r="J29" s="32">
        <f>'2 lentelė'!L26</f>
        <v>281261</v>
      </c>
      <c r="K29" s="32">
        <f>'2 lentelė'!Q26</f>
        <v>239072</v>
      </c>
      <c r="L29" s="32">
        <v>0</v>
      </c>
      <c r="M29" s="32">
        <v>0</v>
      </c>
      <c r="N29" s="32">
        <v>0</v>
      </c>
      <c r="O29" s="32">
        <v>0</v>
      </c>
      <c r="P29" s="32">
        <v>0</v>
      </c>
      <c r="Q29" s="32">
        <v>0</v>
      </c>
      <c r="R29" s="32">
        <f t="shared" ref="R29:S31" si="7">D29+F29+H29+J29+L29+N29+P29</f>
        <v>281261</v>
      </c>
      <c r="S29" s="31">
        <f t="shared" si="7"/>
        <v>239072</v>
      </c>
    </row>
    <row r="30" spans="2:19" s="7" customFormat="1" ht="117.75" hidden="1" customHeight="1" x14ac:dyDescent="0.25">
      <c r="B30" s="31" t="s">
        <v>54</v>
      </c>
      <c r="C30" s="32" t="s">
        <v>181</v>
      </c>
      <c r="D30" s="32">
        <v>0</v>
      </c>
      <c r="E30" s="32">
        <v>0</v>
      </c>
      <c r="F30" s="32">
        <v>0</v>
      </c>
      <c r="G30" s="32">
        <v>0</v>
      </c>
      <c r="H30" s="32">
        <f>'2 lentelė'!L27</f>
        <v>1708758</v>
      </c>
      <c r="I30" s="32">
        <f>'2 lentelė'!Q27</f>
        <v>1452444</v>
      </c>
      <c r="J30" s="32">
        <v>0</v>
      </c>
      <c r="K30" s="32">
        <v>0</v>
      </c>
      <c r="L30" s="32">
        <v>0</v>
      </c>
      <c r="M30" s="32">
        <v>0</v>
      </c>
      <c r="N30" s="32">
        <v>0</v>
      </c>
      <c r="O30" s="32">
        <v>0</v>
      </c>
      <c r="P30" s="32">
        <v>0</v>
      </c>
      <c r="Q30" s="32">
        <v>0</v>
      </c>
      <c r="R30" s="32">
        <f t="shared" si="7"/>
        <v>1708758</v>
      </c>
      <c r="S30" s="31">
        <f t="shared" si="7"/>
        <v>1452444</v>
      </c>
    </row>
    <row r="31" spans="2:19" s="7" customFormat="1" ht="41.25" hidden="1" customHeight="1" x14ac:dyDescent="0.25">
      <c r="B31" s="31" t="s">
        <v>182</v>
      </c>
      <c r="C31" s="32" t="s">
        <v>183</v>
      </c>
      <c r="D31" s="32">
        <v>0</v>
      </c>
      <c r="E31" s="32">
        <v>0</v>
      </c>
      <c r="F31" s="32">
        <v>0</v>
      </c>
      <c r="G31" s="32">
        <v>0</v>
      </c>
      <c r="H31" s="32">
        <f>'2 lentelė'!L28</f>
        <v>1095550</v>
      </c>
      <c r="I31" s="32">
        <f>'2 lentelė'!Q28</f>
        <v>868860</v>
      </c>
      <c r="J31" s="32">
        <v>0</v>
      </c>
      <c r="K31" s="32">
        <v>0</v>
      </c>
      <c r="L31" s="32">
        <v>0</v>
      </c>
      <c r="M31" s="32">
        <v>0</v>
      </c>
      <c r="N31" s="32">
        <v>0</v>
      </c>
      <c r="O31" s="32">
        <v>0</v>
      </c>
      <c r="P31" s="32">
        <v>0</v>
      </c>
      <c r="Q31" s="32">
        <v>0</v>
      </c>
      <c r="R31" s="32">
        <f t="shared" si="7"/>
        <v>1095550</v>
      </c>
      <c r="S31" s="31">
        <f t="shared" si="7"/>
        <v>868860</v>
      </c>
    </row>
    <row r="32" spans="2:19" ht="114.75" hidden="1" x14ac:dyDescent="0.25">
      <c r="B32" s="13" t="s">
        <v>19</v>
      </c>
      <c r="C32" s="28" t="s">
        <v>184</v>
      </c>
      <c r="D32" s="28">
        <v>0</v>
      </c>
      <c r="E32" s="28">
        <v>0</v>
      </c>
      <c r="F32" s="28">
        <v>0</v>
      </c>
      <c r="G32" s="28">
        <f>G33</f>
        <v>0</v>
      </c>
      <c r="H32" s="28">
        <f t="shared" ref="H32:S32" si="8">H33</f>
        <v>0</v>
      </c>
      <c r="I32" s="28">
        <f t="shared" si="8"/>
        <v>0</v>
      </c>
      <c r="J32" s="28">
        <f t="shared" si="8"/>
        <v>904727</v>
      </c>
      <c r="K32" s="28">
        <f t="shared" si="8"/>
        <v>769018</v>
      </c>
      <c r="L32" s="28">
        <f t="shared" si="8"/>
        <v>0</v>
      </c>
      <c r="M32" s="28">
        <f t="shared" si="8"/>
        <v>0</v>
      </c>
      <c r="N32" s="28">
        <f t="shared" si="8"/>
        <v>0</v>
      </c>
      <c r="O32" s="28">
        <f t="shared" si="8"/>
        <v>0</v>
      </c>
      <c r="P32" s="28">
        <f t="shared" si="8"/>
        <v>0</v>
      </c>
      <c r="Q32" s="28">
        <f t="shared" si="8"/>
        <v>0</v>
      </c>
      <c r="R32" s="28">
        <f t="shared" si="8"/>
        <v>904727</v>
      </c>
      <c r="S32" s="28">
        <f t="shared" si="8"/>
        <v>769018</v>
      </c>
    </row>
    <row r="33" spans="2:19" ht="38.25" hidden="1" x14ac:dyDescent="0.25">
      <c r="B33" s="30" t="s">
        <v>20</v>
      </c>
      <c r="C33" s="30" t="s">
        <v>185</v>
      </c>
      <c r="D33" s="30">
        <v>0</v>
      </c>
      <c r="E33" s="30">
        <v>0</v>
      </c>
      <c r="F33" s="30">
        <v>0</v>
      </c>
      <c r="G33" s="30">
        <f>G34</f>
        <v>0</v>
      </c>
      <c r="H33" s="30">
        <f t="shared" ref="H33:S33" si="9">H34</f>
        <v>0</v>
      </c>
      <c r="I33" s="30">
        <f t="shared" si="9"/>
        <v>0</v>
      </c>
      <c r="J33" s="30">
        <f t="shared" si="9"/>
        <v>904727</v>
      </c>
      <c r="K33" s="30">
        <f t="shared" si="9"/>
        <v>769018</v>
      </c>
      <c r="L33" s="30">
        <f t="shared" si="9"/>
        <v>0</v>
      </c>
      <c r="M33" s="30">
        <f t="shared" si="9"/>
        <v>0</v>
      </c>
      <c r="N33" s="30">
        <f t="shared" si="9"/>
        <v>0</v>
      </c>
      <c r="O33" s="30">
        <f t="shared" si="9"/>
        <v>0</v>
      </c>
      <c r="P33" s="30">
        <f t="shared" si="9"/>
        <v>0</v>
      </c>
      <c r="Q33" s="30">
        <f t="shared" si="9"/>
        <v>0</v>
      </c>
      <c r="R33" s="30">
        <f t="shared" si="9"/>
        <v>904727</v>
      </c>
      <c r="S33" s="30">
        <f t="shared" si="9"/>
        <v>769018</v>
      </c>
    </row>
    <row r="34" spans="2:19" s="7" customFormat="1" ht="144.75" hidden="1" customHeight="1" x14ac:dyDescent="0.25">
      <c r="B34" s="31" t="s">
        <v>186</v>
      </c>
      <c r="C34" s="32" t="s">
        <v>187</v>
      </c>
      <c r="D34" s="34">
        <v>0</v>
      </c>
      <c r="E34" s="34">
        <v>0</v>
      </c>
      <c r="F34" s="34">
        <v>0</v>
      </c>
      <c r="G34" s="34">
        <v>0</v>
      </c>
      <c r="H34" s="34">
        <v>0</v>
      </c>
      <c r="I34" s="34">
        <v>0</v>
      </c>
      <c r="J34" s="34">
        <f>'2 lentelė'!L31</f>
        <v>904727</v>
      </c>
      <c r="K34" s="34">
        <f>'2 lentelė'!Q31</f>
        <v>769018</v>
      </c>
      <c r="L34" s="34">
        <v>0</v>
      </c>
      <c r="M34" s="34">
        <v>0</v>
      </c>
      <c r="N34" s="34">
        <v>0</v>
      </c>
      <c r="O34" s="34">
        <v>0</v>
      </c>
      <c r="P34" s="34">
        <v>0</v>
      </c>
      <c r="Q34" s="34">
        <v>0</v>
      </c>
      <c r="R34" s="34">
        <f>D34+F34+H34+J34+L34+N34+P34</f>
        <v>904727</v>
      </c>
      <c r="S34" s="34">
        <f>E34+G34+I34+K34+M34+O34+Q34</f>
        <v>769018</v>
      </c>
    </row>
    <row r="35" spans="2:19" s="7" customFormat="1" ht="131.25" hidden="1" customHeight="1" x14ac:dyDescent="0.25">
      <c r="B35" s="13" t="s">
        <v>188</v>
      </c>
      <c r="C35" s="28" t="s">
        <v>189</v>
      </c>
      <c r="D35" s="28">
        <v>0</v>
      </c>
      <c r="E35" s="28">
        <v>0</v>
      </c>
      <c r="F35" s="28">
        <v>0</v>
      </c>
      <c r="G35" s="28">
        <v>0</v>
      </c>
      <c r="H35" s="28">
        <v>0</v>
      </c>
      <c r="I35" s="28">
        <v>0</v>
      </c>
      <c r="J35" s="28">
        <v>0</v>
      </c>
      <c r="K35" s="13">
        <v>0</v>
      </c>
      <c r="L35" s="13">
        <v>0</v>
      </c>
      <c r="M35" s="28">
        <v>0</v>
      </c>
      <c r="N35" s="28">
        <v>0</v>
      </c>
      <c r="O35" s="28">
        <v>0</v>
      </c>
      <c r="P35" s="28">
        <v>0</v>
      </c>
      <c r="Q35" s="28">
        <v>0</v>
      </c>
      <c r="R35" s="28">
        <v>0</v>
      </c>
      <c r="S35" s="28">
        <v>0</v>
      </c>
    </row>
    <row r="36" spans="2:19" s="7" customFormat="1" ht="71.25" hidden="1" customHeight="1" x14ac:dyDescent="0.25">
      <c r="B36" s="30" t="s">
        <v>190</v>
      </c>
      <c r="C36" s="30" t="s">
        <v>191</v>
      </c>
      <c r="D36" s="30">
        <v>0</v>
      </c>
      <c r="E36" s="30">
        <v>0</v>
      </c>
      <c r="F36" s="30">
        <v>0</v>
      </c>
      <c r="G36" s="30">
        <v>0</v>
      </c>
      <c r="H36" s="30">
        <v>0</v>
      </c>
      <c r="I36" s="30">
        <v>0</v>
      </c>
      <c r="J36" s="30">
        <v>0</v>
      </c>
      <c r="K36" s="30">
        <v>0</v>
      </c>
      <c r="L36" s="30">
        <v>0</v>
      </c>
      <c r="M36" s="30">
        <v>0</v>
      </c>
      <c r="N36" s="30">
        <v>0</v>
      </c>
      <c r="O36" s="30">
        <v>0</v>
      </c>
      <c r="P36" s="30">
        <v>0</v>
      </c>
      <c r="Q36" s="30">
        <v>0</v>
      </c>
      <c r="R36" s="30">
        <v>0</v>
      </c>
      <c r="S36" s="30">
        <v>0</v>
      </c>
    </row>
    <row r="37" spans="2:19" s="7" customFormat="1" ht="74.25" hidden="1" customHeight="1" x14ac:dyDescent="0.25">
      <c r="B37" s="30" t="s">
        <v>192</v>
      </c>
      <c r="C37" s="30" t="s">
        <v>193</v>
      </c>
      <c r="D37" s="30">
        <v>0</v>
      </c>
      <c r="E37" s="30">
        <v>0</v>
      </c>
      <c r="F37" s="30">
        <v>0</v>
      </c>
      <c r="G37" s="30">
        <v>0</v>
      </c>
      <c r="H37" s="30">
        <v>0</v>
      </c>
      <c r="I37" s="30">
        <v>0</v>
      </c>
      <c r="J37" s="30">
        <v>0</v>
      </c>
      <c r="K37" s="30">
        <v>0</v>
      </c>
      <c r="L37" s="30">
        <v>0</v>
      </c>
      <c r="M37" s="30">
        <v>0</v>
      </c>
      <c r="N37" s="30">
        <v>0</v>
      </c>
      <c r="O37" s="30">
        <v>0</v>
      </c>
      <c r="P37" s="30">
        <v>0</v>
      </c>
      <c r="Q37" s="30">
        <v>0</v>
      </c>
      <c r="R37" s="30">
        <v>0</v>
      </c>
      <c r="S37" s="30">
        <v>0</v>
      </c>
    </row>
    <row r="38" spans="2:19" s="7" customFormat="1" ht="76.5" hidden="1" customHeight="1" x14ac:dyDescent="0.25">
      <c r="B38" s="16" t="s">
        <v>21</v>
      </c>
      <c r="C38" s="35" t="s">
        <v>194</v>
      </c>
      <c r="D38" s="43">
        <v>0</v>
      </c>
      <c r="E38" s="16">
        <v>0</v>
      </c>
      <c r="F38" s="16">
        <v>0</v>
      </c>
      <c r="G38" s="35">
        <f>G39+G49</f>
        <v>0</v>
      </c>
      <c r="H38" s="35">
        <f t="shared" ref="H38:S38" si="10">H39+H49</f>
        <v>50000</v>
      </c>
      <c r="I38" s="35">
        <f t="shared" si="10"/>
        <v>42500</v>
      </c>
      <c r="J38" s="35">
        <f t="shared" si="10"/>
        <v>3316371.04</v>
      </c>
      <c r="K38" s="35">
        <f t="shared" si="10"/>
        <v>2810414.83</v>
      </c>
      <c r="L38" s="35">
        <f t="shared" si="10"/>
        <v>3556434.14</v>
      </c>
      <c r="M38" s="35">
        <f t="shared" si="10"/>
        <v>2876838.1</v>
      </c>
      <c r="N38" s="35">
        <f t="shared" si="10"/>
        <v>484081.29</v>
      </c>
      <c r="O38" s="35">
        <f t="shared" si="10"/>
        <v>411469.08999999997</v>
      </c>
      <c r="P38" s="35">
        <f t="shared" si="10"/>
        <v>0</v>
      </c>
      <c r="Q38" s="35">
        <f t="shared" si="10"/>
        <v>0</v>
      </c>
      <c r="R38" s="35">
        <f t="shared" si="10"/>
        <v>7406886.4699999997</v>
      </c>
      <c r="S38" s="35">
        <f t="shared" si="10"/>
        <v>6141222.0199999996</v>
      </c>
    </row>
    <row r="39" spans="2:19" s="7" customFormat="1" ht="69" hidden="1" customHeight="1" x14ac:dyDescent="0.25">
      <c r="B39" s="13" t="s">
        <v>22</v>
      </c>
      <c r="C39" s="28" t="s">
        <v>195</v>
      </c>
      <c r="D39" s="14">
        <v>0</v>
      </c>
      <c r="E39" s="14">
        <v>0</v>
      </c>
      <c r="F39" s="13">
        <v>0</v>
      </c>
      <c r="G39" s="13">
        <v>0</v>
      </c>
      <c r="H39" s="14">
        <f>SUM(H40)</f>
        <v>0</v>
      </c>
      <c r="I39" s="14">
        <f t="shared" ref="I39:S39" si="11">SUM(I40)</f>
        <v>0</v>
      </c>
      <c r="J39" s="13">
        <f t="shared" si="11"/>
        <v>1564788.04</v>
      </c>
      <c r="K39" s="13">
        <f t="shared" si="11"/>
        <v>1330069.83</v>
      </c>
      <c r="L39" s="14">
        <f t="shared" si="11"/>
        <v>2251718.14</v>
      </c>
      <c r="M39" s="14">
        <f t="shared" si="11"/>
        <v>1876971.1</v>
      </c>
      <c r="N39" s="13">
        <f t="shared" si="11"/>
        <v>381140.11</v>
      </c>
      <c r="O39" s="13">
        <f t="shared" si="11"/>
        <v>323969.08999999997</v>
      </c>
      <c r="P39" s="14">
        <f t="shared" si="11"/>
        <v>0</v>
      </c>
      <c r="Q39" s="14">
        <f t="shared" si="11"/>
        <v>0</v>
      </c>
      <c r="R39" s="13">
        <f t="shared" si="11"/>
        <v>4197646.29</v>
      </c>
      <c r="S39" s="13">
        <f t="shared" si="11"/>
        <v>3531010.02</v>
      </c>
    </row>
    <row r="40" spans="2:19" s="7" customFormat="1" ht="30" hidden="1" customHeight="1" x14ac:dyDescent="0.25">
      <c r="B40" s="30" t="s">
        <v>196</v>
      </c>
      <c r="C40" s="30" t="s">
        <v>197</v>
      </c>
      <c r="D40" s="30">
        <v>0</v>
      </c>
      <c r="E40" s="30">
        <v>0</v>
      </c>
      <c r="F40" s="30">
        <v>0</v>
      </c>
      <c r="G40" s="30">
        <v>0</v>
      </c>
      <c r="H40" s="30">
        <f t="shared" ref="H40:Q40" si="12">SUM(H41:H48)</f>
        <v>0</v>
      </c>
      <c r="I40" s="30">
        <f t="shared" si="12"/>
        <v>0</v>
      </c>
      <c r="J40" s="30">
        <f t="shared" si="12"/>
        <v>1564788.04</v>
      </c>
      <c r="K40" s="30">
        <f t="shared" si="12"/>
        <v>1330069.83</v>
      </c>
      <c r="L40" s="30">
        <f t="shared" si="12"/>
        <v>2251718.14</v>
      </c>
      <c r="M40" s="30">
        <f t="shared" si="12"/>
        <v>1876971.1</v>
      </c>
      <c r="N40" s="30">
        <f t="shared" si="12"/>
        <v>381140.11</v>
      </c>
      <c r="O40" s="30">
        <f t="shared" si="12"/>
        <v>323969.08999999997</v>
      </c>
      <c r="P40" s="30">
        <f t="shared" si="12"/>
        <v>0</v>
      </c>
      <c r="Q40" s="30">
        <f t="shared" si="12"/>
        <v>0</v>
      </c>
      <c r="R40" s="30">
        <f>SUM(R41:R48)</f>
        <v>4197646.29</v>
      </c>
      <c r="S40" s="30">
        <f>SUM(S41:S48)</f>
        <v>3531010.02</v>
      </c>
    </row>
    <row r="41" spans="2:19" s="7" customFormat="1" ht="57" hidden="1" customHeight="1" x14ac:dyDescent="0.25">
      <c r="B41" s="31" t="s">
        <v>198</v>
      </c>
      <c r="C41" s="32" t="s">
        <v>199</v>
      </c>
      <c r="D41" s="32">
        <v>0</v>
      </c>
      <c r="E41" s="32">
        <v>0</v>
      </c>
      <c r="F41" s="32">
        <v>0</v>
      </c>
      <c r="G41" s="32">
        <v>0</v>
      </c>
      <c r="H41" s="32">
        <v>0</v>
      </c>
      <c r="I41" s="32">
        <v>0</v>
      </c>
      <c r="J41" s="32">
        <v>0</v>
      </c>
      <c r="K41" s="32">
        <v>0</v>
      </c>
      <c r="L41" s="32">
        <f>'2 lentelė'!L38</f>
        <v>752000</v>
      </c>
      <c r="M41" s="32">
        <f>'2 lentelė'!Q38</f>
        <v>639199.93999999994</v>
      </c>
      <c r="N41" s="32">
        <v>0</v>
      </c>
      <c r="O41" s="32">
        <v>0</v>
      </c>
      <c r="P41" s="32">
        <v>0</v>
      </c>
      <c r="Q41" s="32">
        <v>0</v>
      </c>
      <c r="R41" s="32">
        <f>D41+F41+H41+J41+L41+N41+P41</f>
        <v>752000</v>
      </c>
      <c r="S41" s="32">
        <f>E41+G41+I41+K41+M41+O41+Q41</f>
        <v>639199.93999999994</v>
      </c>
    </row>
    <row r="42" spans="2:19" s="7" customFormat="1" ht="41.25" hidden="1" customHeight="1" x14ac:dyDescent="0.25">
      <c r="B42" s="31" t="s">
        <v>200</v>
      </c>
      <c r="C42" s="32" t="s">
        <v>201</v>
      </c>
      <c r="D42" s="32">
        <v>0</v>
      </c>
      <c r="E42" s="32">
        <v>0</v>
      </c>
      <c r="F42" s="32">
        <v>0</v>
      </c>
      <c r="G42" s="32">
        <v>0</v>
      </c>
      <c r="H42" s="32">
        <v>0</v>
      </c>
      <c r="I42" s="32">
        <v>0</v>
      </c>
      <c r="J42" s="32">
        <v>0</v>
      </c>
      <c r="K42" s="32">
        <v>0</v>
      </c>
      <c r="L42" s="32">
        <f>'2 lentelė'!L39</f>
        <v>186676.75</v>
      </c>
      <c r="M42" s="32">
        <v>127500</v>
      </c>
      <c r="N42" s="32">
        <v>0</v>
      </c>
      <c r="O42" s="32">
        <v>0</v>
      </c>
      <c r="P42" s="32">
        <v>0</v>
      </c>
      <c r="Q42" s="32">
        <v>0</v>
      </c>
      <c r="R42" s="32">
        <f t="shared" ref="R42:S48" si="13">D42+F42+H42+J42+L42+N42+P42</f>
        <v>186676.75</v>
      </c>
      <c r="S42" s="32">
        <f t="shared" si="13"/>
        <v>127500</v>
      </c>
    </row>
    <row r="43" spans="2:19" s="7" customFormat="1" ht="106.5" hidden="1" customHeight="1" x14ac:dyDescent="0.25">
      <c r="B43" s="31" t="s">
        <v>202</v>
      </c>
      <c r="C43" s="32" t="s">
        <v>203</v>
      </c>
      <c r="D43" s="32">
        <v>0</v>
      </c>
      <c r="E43" s="32">
        <v>0</v>
      </c>
      <c r="F43" s="32">
        <v>0</v>
      </c>
      <c r="G43" s="32">
        <v>0</v>
      </c>
      <c r="H43" s="32">
        <v>0</v>
      </c>
      <c r="I43" s="32">
        <v>0</v>
      </c>
      <c r="J43" s="32">
        <f>'2 lentelė'!L40</f>
        <v>935258.45</v>
      </c>
      <c r="K43" s="32">
        <f>'2 lentelė'!Q40</f>
        <v>794969.67999999993</v>
      </c>
      <c r="L43" s="32">
        <v>0</v>
      </c>
      <c r="M43" s="32">
        <v>0</v>
      </c>
      <c r="N43" s="32">
        <v>0</v>
      </c>
      <c r="O43" s="32">
        <v>0</v>
      </c>
      <c r="P43" s="32">
        <v>0</v>
      </c>
      <c r="Q43" s="32">
        <v>0</v>
      </c>
      <c r="R43" s="32">
        <f t="shared" si="13"/>
        <v>935258.45</v>
      </c>
      <c r="S43" s="32">
        <f t="shared" si="13"/>
        <v>794969.67999999993</v>
      </c>
    </row>
    <row r="44" spans="2:19" s="7" customFormat="1" ht="69" hidden="1" customHeight="1" x14ac:dyDescent="0.25">
      <c r="B44" s="31" t="s">
        <v>204</v>
      </c>
      <c r="C44" s="32" t="s">
        <v>205</v>
      </c>
      <c r="D44" s="32">
        <v>0</v>
      </c>
      <c r="E44" s="32">
        <v>0</v>
      </c>
      <c r="F44" s="32">
        <v>0</v>
      </c>
      <c r="G44" s="32">
        <v>0</v>
      </c>
      <c r="H44" s="32">
        <v>0</v>
      </c>
      <c r="I44" s="32">
        <v>0</v>
      </c>
      <c r="J44" s="32">
        <f>'2 lentelė'!L41</f>
        <v>629529.59</v>
      </c>
      <c r="K44" s="32">
        <f>'2 lentelė'!Q41</f>
        <v>535100.15</v>
      </c>
      <c r="L44" s="32">
        <v>0</v>
      </c>
      <c r="M44" s="32">
        <v>0</v>
      </c>
      <c r="N44" s="32">
        <v>0</v>
      </c>
      <c r="O44" s="32">
        <v>0</v>
      </c>
      <c r="P44" s="32">
        <v>0</v>
      </c>
      <c r="Q44" s="32">
        <v>0</v>
      </c>
      <c r="R44" s="32">
        <f t="shared" si="13"/>
        <v>629529.59</v>
      </c>
      <c r="S44" s="32">
        <f t="shared" si="13"/>
        <v>535100.15</v>
      </c>
    </row>
    <row r="45" spans="2:19" s="7" customFormat="1" ht="45.75" hidden="1" customHeight="1" x14ac:dyDescent="0.25">
      <c r="B45" s="31" t="s">
        <v>206</v>
      </c>
      <c r="C45" s="32" t="s">
        <v>207</v>
      </c>
      <c r="D45" s="32">
        <v>0</v>
      </c>
      <c r="E45" s="32">
        <v>0</v>
      </c>
      <c r="F45" s="32">
        <v>0</v>
      </c>
      <c r="G45" s="32">
        <v>0</v>
      </c>
      <c r="H45" s="32">
        <v>0</v>
      </c>
      <c r="I45" s="32">
        <v>0</v>
      </c>
      <c r="J45" s="68">
        <v>0</v>
      </c>
      <c r="K45" s="68">
        <v>0</v>
      </c>
      <c r="L45" s="32">
        <f>'2 lentelė'!L42</f>
        <v>428573.83</v>
      </c>
      <c r="M45" s="32">
        <f>'2 lentelė'!Q42</f>
        <v>361746.23</v>
      </c>
      <c r="N45" s="32">
        <v>0</v>
      </c>
      <c r="O45" s="32">
        <v>0</v>
      </c>
      <c r="P45" s="32">
        <v>0</v>
      </c>
      <c r="Q45" s="32">
        <v>0</v>
      </c>
      <c r="R45" s="32">
        <f t="shared" si="13"/>
        <v>428573.83</v>
      </c>
      <c r="S45" s="32">
        <f t="shared" si="13"/>
        <v>361746.23</v>
      </c>
    </row>
    <row r="46" spans="2:19" s="7" customFormat="1" ht="78" hidden="1" customHeight="1" x14ac:dyDescent="0.25">
      <c r="B46" s="31" t="s">
        <v>208</v>
      </c>
      <c r="C46" s="32" t="s">
        <v>209</v>
      </c>
      <c r="D46" s="32">
        <v>0</v>
      </c>
      <c r="E46" s="32">
        <v>0</v>
      </c>
      <c r="F46" s="32">
        <v>0</v>
      </c>
      <c r="G46" s="32">
        <v>0</v>
      </c>
      <c r="H46" s="32">
        <v>0</v>
      </c>
      <c r="I46" s="32">
        <v>0</v>
      </c>
      <c r="J46" s="32">
        <v>0</v>
      </c>
      <c r="K46" s="32">
        <v>0</v>
      </c>
      <c r="L46" s="32">
        <v>0</v>
      </c>
      <c r="M46" s="32">
        <v>0</v>
      </c>
      <c r="N46" s="32">
        <f>'2 lentelė'!L43</f>
        <v>381140.11</v>
      </c>
      <c r="O46" s="32">
        <f>'2 lentelė'!Q43</f>
        <v>323969.08999999997</v>
      </c>
      <c r="P46" s="32">
        <v>0</v>
      </c>
      <c r="Q46" s="32">
        <v>0</v>
      </c>
      <c r="R46" s="32">
        <f>D46+F46+H46+J46+L46+N46+P46</f>
        <v>381140.11</v>
      </c>
      <c r="S46" s="32">
        <f>E46+G46+I46+K46+M46+O46+Q46</f>
        <v>323969.08999999997</v>
      </c>
    </row>
    <row r="47" spans="2:19" s="7" customFormat="1" ht="49.5" hidden="1" customHeight="1" x14ac:dyDescent="0.25">
      <c r="B47" s="31" t="s">
        <v>210</v>
      </c>
      <c r="C47" s="32" t="s">
        <v>211</v>
      </c>
      <c r="D47" s="32">
        <v>0</v>
      </c>
      <c r="E47" s="32">
        <v>0</v>
      </c>
      <c r="F47" s="32">
        <v>0</v>
      </c>
      <c r="G47" s="32">
        <v>0</v>
      </c>
      <c r="H47" s="32">
        <v>0</v>
      </c>
      <c r="I47" s="32">
        <v>0</v>
      </c>
      <c r="J47" s="32">
        <v>0</v>
      </c>
      <c r="K47" s="32">
        <v>0</v>
      </c>
      <c r="L47" s="32">
        <f>'2 lentelė'!L44</f>
        <v>774117.56</v>
      </c>
      <c r="M47" s="32">
        <f>'2 lentelė'!Q44</f>
        <v>657999.93000000005</v>
      </c>
      <c r="N47" s="32">
        <v>0</v>
      </c>
      <c r="O47" s="32">
        <v>0</v>
      </c>
      <c r="P47" s="32">
        <v>0</v>
      </c>
      <c r="Q47" s="32">
        <v>0</v>
      </c>
      <c r="R47" s="32">
        <f>D47+F47+H47+J47+L47+N47+P47</f>
        <v>774117.56</v>
      </c>
      <c r="S47" s="32">
        <f>E47+G47+I47+K47+M47+O47+Q47</f>
        <v>657999.93000000005</v>
      </c>
    </row>
    <row r="48" spans="2:19" s="7" customFormat="1" ht="68.25" hidden="1" customHeight="1" x14ac:dyDescent="0.25">
      <c r="B48" s="31" t="s">
        <v>212</v>
      </c>
      <c r="C48" s="32" t="s">
        <v>213</v>
      </c>
      <c r="D48" s="32">
        <v>0</v>
      </c>
      <c r="E48" s="32">
        <v>0</v>
      </c>
      <c r="F48" s="32">
        <v>0</v>
      </c>
      <c r="G48" s="32">
        <v>0</v>
      </c>
      <c r="H48" s="32">
        <v>0</v>
      </c>
      <c r="I48" s="32">
        <v>0</v>
      </c>
      <c r="J48" s="32">
        <v>0</v>
      </c>
      <c r="K48" s="32">
        <v>0</v>
      </c>
      <c r="L48" s="32">
        <f>'2 lentelė'!L45</f>
        <v>110350</v>
      </c>
      <c r="M48" s="32">
        <f>'2 lentelė'!Q45</f>
        <v>90525</v>
      </c>
      <c r="N48" s="32">
        <v>0</v>
      </c>
      <c r="O48" s="32">
        <v>0</v>
      </c>
      <c r="P48" s="32">
        <v>0</v>
      </c>
      <c r="Q48" s="32">
        <v>0</v>
      </c>
      <c r="R48" s="32">
        <f t="shared" si="13"/>
        <v>110350</v>
      </c>
      <c r="S48" s="32">
        <f t="shared" si="13"/>
        <v>90525</v>
      </c>
    </row>
    <row r="49" spans="2:19" ht="76.5" hidden="1" x14ac:dyDescent="0.25">
      <c r="B49" s="13" t="s">
        <v>214</v>
      </c>
      <c r="C49" s="28" t="s">
        <v>215</v>
      </c>
      <c r="D49" s="28">
        <v>0</v>
      </c>
      <c r="E49" s="28">
        <v>0</v>
      </c>
      <c r="F49" s="28">
        <v>0</v>
      </c>
      <c r="G49" s="28">
        <f>G50+G55+G61</f>
        <v>0</v>
      </c>
      <c r="H49" s="28">
        <f t="shared" ref="H49:S49" si="14">H50+H55+H61</f>
        <v>50000</v>
      </c>
      <c r="I49" s="28">
        <f t="shared" si="14"/>
        <v>42500</v>
      </c>
      <c r="J49" s="28">
        <f t="shared" si="14"/>
        <v>1751583</v>
      </c>
      <c r="K49" s="28">
        <f t="shared" si="14"/>
        <v>1480345</v>
      </c>
      <c r="L49" s="28">
        <f t="shared" si="14"/>
        <v>1304716</v>
      </c>
      <c r="M49" s="28">
        <f t="shared" si="14"/>
        <v>999867</v>
      </c>
      <c r="N49" s="28">
        <f t="shared" si="14"/>
        <v>102941.18</v>
      </c>
      <c r="O49" s="28">
        <f t="shared" si="14"/>
        <v>87500</v>
      </c>
      <c r="P49" s="28">
        <f t="shared" si="14"/>
        <v>0</v>
      </c>
      <c r="Q49" s="28">
        <f t="shared" si="14"/>
        <v>0</v>
      </c>
      <c r="R49" s="28">
        <f t="shared" si="14"/>
        <v>3209240.1799999997</v>
      </c>
      <c r="S49" s="28">
        <f t="shared" si="14"/>
        <v>2610212</v>
      </c>
    </row>
    <row r="50" spans="2:19" s="7" customFormat="1" ht="38.25" hidden="1" x14ac:dyDescent="0.25">
      <c r="B50" s="30" t="s">
        <v>216</v>
      </c>
      <c r="C50" s="30" t="s">
        <v>217</v>
      </c>
      <c r="D50" s="30">
        <v>0</v>
      </c>
      <c r="E50" s="30">
        <v>0</v>
      </c>
      <c r="F50" s="30">
        <v>0</v>
      </c>
      <c r="G50" s="30">
        <v>0</v>
      </c>
      <c r="H50" s="30">
        <f t="shared" ref="H50:S50" si="15">SUM(H51:H54)</f>
        <v>0</v>
      </c>
      <c r="I50" s="30">
        <f t="shared" si="15"/>
        <v>0</v>
      </c>
      <c r="J50" s="30">
        <f t="shared" si="15"/>
        <v>0</v>
      </c>
      <c r="K50" s="30">
        <f t="shared" si="15"/>
        <v>0</v>
      </c>
      <c r="L50" s="30">
        <f>SUM(L51:L54)</f>
        <v>490816</v>
      </c>
      <c r="M50" s="30">
        <f>SUM(M51:M54)</f>
        <v>308052</v>
      </c>
      <c r="N50" s="30">
        <f t="shared" si="15"/>
        <v>102941.18</v>
      </c>
      <c r="O50" s="30">
        <f t="shared" si="15"/>
        <v>87500</v>
      </c>
      <c r="P50" s="30">
        <f t="shared" si="15"/>
        <v>0</v>
      </c>
      <c r="Q50" s="30">
        <f t="shared" si="15"/>
        <v>0</v>
      </c>
      <c r="R50" s="30">
        <f t="shared" si="15"/>
        <v>593757.17999999993</v>
      </c>
      <c r="S50" s="30">
        <f t="shared" si="15"/>
        <v>395552</v>
      </c>
    </row>
    <row r="51" spans="2:19" s="7" customFormat="1" ht="87" hidden="1" customHeight="1" x14ac:dyDescent="0.25">
      <c r="B51" s="31" t="s">
        <v>218</v>
      </c>
      <c r="C51" s="32" t="s">
        <v>219</v>
      </c>
      <c r="D51" s="32">
        <v>0</v>
      </c>
      <c r="E51" s="32">
        <v>0</v>
      </c>
      <c r="F51" s="32">
        <v>0</v>
      </c>
      <c r="G51" s="32">
        <v>0</v>
      </c>
      <c r="H51" s="32">
        <v>0</v>
      </c>
      <c r="I51" s="32">
        <v>0</v>
      </c>
      <c r="J51" s="32">
        <v>0</v>
      </c>
      <c r="K51" s="32">
        <v>0</v>
      </c>
      <c r="L51" s="32">
        <v>0</v>
      </c>
      <c r="M51" s="32">
        <v>0</v>
      </c>
      <c r="N51" s="32">
        <f>'2 lentelė'!L48</f>
        <v>102941.18</v>
      </c>
      <c r="O51" s="32">
        <f>'2 lentelė'!Q48</f>
        <v>87500</v>
      </c>
      <c r="P51" s="32">
        <v>0</v>
      </c>
      <c r="Q51" s="32">
        <v>0</v>
      </c>
      <c r="R51" s="32">
        <f>L51+N51+P51</f>
        <v>102941.18</v>
      </c>
      <c r="S51" s="31">
        <f>M51+O51+Q51</f>
        <v>87500</v>
      </c>
    </row>
    <row r="52" spans="2:19" ht="81.75" hidden="1" customHeight="1" x14ac:dyDescent="0.25">
      <c r="B52" s="31" t="s">
        <v>220</v>
      </c>
      <c r="C52" s="32" t="s">
        <v>221</v>
      </c>
      <c r="D52" s="20">
        <v>0</v>
      </c>
      <c r="E52" s="20">
        <v>0</v>
      </c>
      <c r="F52" s="20">
        <v>0</v>
      </c>
      <c r="G52" s="20">
        <v>0</v>
      </c>
      <c r="H52" s="20">
        <v>0</v>
      </c>
      <c r="I52" s="20">
        <v>0</v>
      </c>
      <c r="J52" s="20">
        <v>0</v>
      </c>
      <c r="K52" s="20">
        <v>0</v>
      </c>
      <c r="L52" s="20">
        <f>'2 lentelė'!L49</f>
        <v>322662</v>
      </c>
      <c r="M52" s="20">
        <f>'2 lentelė'!Q49</f>
        <v>165122</v>
      </c>
      <c r="N52" s="20">
        <v>0</v>
      </c>
      <c r="O52" s="20">
        <v>0</v>
      </c>
      <c r="P52" s="20">
        <v>0</v>
      </c>
      <c r="Q52" s="20">
        <v>0</v>
      </c>
      <c r="R52" s="32">
        <f>L52+N52+P52</f>
        <v>322662</v>
      </c>
      <c r="S52" s="31">
        <f>M52+O52+Q52</f>
        <v>165122</v>
      </c>
    </row>
    <row r="53" spans="2:19" ht="66.75" hidden="1" customHeight="1" x14ac:dyDescent="0.25">
      <c r="B53" s="31" t="s">
        <v>222</v>
      </c>
      <c r="C53" s="32" t="s">
        <v>223</v>
      </c>
      <c r="D53" s="20">
        <v>0</v>
      </c>
      <c r="E53" s="20">
        <v>0</v>
      </c>
      <c r="F53" s="20">
        <v>0</v>
      </c>
      <c r="G53" s="15">
        <v>0</v>
      </c>
      <c r="H53" s="15">
        <v>0</v>
      </c>
      <c r="I53" s="15">
        <v>0</v>
      </c>
      <c r="J53" s="15">
        <v>0</v>
      </c>
      <c r="K53" s="15">
        <v>0</v>
      </c>
      <c r="L53" s="15">
        <f>'2 lentelė'!L50</f>
        <v>84289</v>
      </c>
      <c r="M53" s="15">
        <f>'2 lentelė'!Q50</f>
        <v>71645</v>
      </c>
      <c r="N53" s="15">
        <v>0</v>
      </c>
      <c r="O53" s="15">
        <v>0</v>
      </c>
      <c r="P53" s="15">
        <v>0</v>
      </c>
      <c r="Q53" s="15">
        <v>0</v>
      </c>
      <c r="R53" s="32">
        <f t="shared" ref="R53:R54" si="16">L53+N53+P53</f>
        <v>84289</v>
      </c>
      <c r="S53" s="31">
        <f t="shared" ref="S53:S54" si="17">M53+O53+Q53</f>
        <v>71645</v>
      </c>
    </row>
    <row r="54" spans="2:19" ht="59.25" hidden="1" customHeight="1" x14ac:dyDescent="0.25">
      <c r="B54" s="31" t="s">
        <v>224</v>
      </c>
      <c r="C54" s="32" t="s">
        <v>225</v>
      </c>
      <c r="D54" s="20">
        <v>0</v>
      </c>
      <c r="E54" s="20">
        <v>0</v>
      </c>
      <c r="F54" s="20">
        <v>0</v>
      </c>
      <c r="G54" s="15">
        <v>0</v>
      </c>
      <c r="H54" s="15">
        <v>0</v>
      </c>
      <c r="I54" s="15">
        <v>0</v>
      </c>
      <c r="J54" s="15">
        <v>0</v>
      </c>
      <c r="K54" s="15">
        <v>0</v>
      </c>
      <c r="L54" s="15">
        <f>'2 lentelė'!L51</f>
        <v>83865</v>
      </c>
      <c r="M54" s="15">
        <f>'2 lentelė'!Q51</f>
        <v>71285</v>
      </c>
      <c r="N54" s="15">
        <v>0</v>
      </c>
      <c r="O54" s="15">
        <v>0</v>
      </c>
      <c r="P54" s="15">
        <v>0</v>
      </c>
      <c r="Q54" s="15">
        <v>0</v>
      </c>
      <c r="R54" s="32">
        <f t="shared" si="16"/>
        <v>83865</v>
      </c>
      <c r="S54" s="31">
        <f t="shared" si="17"/>
        <v>71285</v>
      </c>
    </row>
    <row r="55" spans="2:19" ht="38.25" hidden="1" x14ac:dyDescent="0.25">
      <c r="B55" s="30" t="s">
        <v>226</v>
      </c>
      <c r="C55" s="30" t="s">
        <v>227</v>
      </c>
      <c r="D55" s="30">
        <f t="shared" ref="D55:Q55" si="18">SUM(D56:D60)</f>
        <v>0</v>
      </c>
      <c r="E55" s="30">
        <f t="shared" si="18"/>
        <v>0</v>
      </c>
      <c r="F55" s="30">
        <f t="shared" si="18"/>
        <v>0</v>
      </c>
      <c r="G55" s="30">
        <f t="shared" si="18"/>
        <v>0</v>
      </c>
      <c r="H55" s="30">
        <f t="shared" si="18"/>
        <v>50000</v>
      </c>
      <c r="I55" s="30">
        <f t="shared" si="18"/>
        <v>42500</v>
      </c>
      <c r="J55" s="30">
        <f t="shared" si="18"/>
        <v>1751583</v>
      </c>
      <c r="K55" s="30">
        <f t="shared" si="18"/>
        <v>1480345</v>
      </c>
      <c r="L55" s="30">
        <f t="shared" si="18"/>
        <v>0</v>
      </c>
      <c r="M55" s="30">
        <f t="shared" si="18"/>
        <v>0</v>
      </c>
      <c r="N55" s="30">
        <f t="shared" si="18"/>
        <v>0</v>
      </c>
      <c r="O55" s="30">
        <f t="shared" si="18"/>
        <v>0</v>
      </c>
      <c r="P55" s="30">
        <f t="shared" si="18"/>
        <v>0</v>
      </c>
      <c r="Q55" s="30">
        <f t="shared" si="18"/>
        <v>0</v>
      </c>
      <c r="R55" s="30">
        <f>SUM(R56:R60)</f>
        <v>1801583</v>
      </c>
      <c r="S55" s="30">
        <f>SUM(S56:S60)</f>
        <v>1522845</v>
      </c>
    </row>
    <row r="56" spans="2:19" ht="51" hidden="1" x14ac:dyDescent="0.25">
      <c r="B56" s="31" t="s">
        <v>228</v>
      </c>
      <c r="C56" s="32" t="s">
        <v>229</v>
      </c>
      <c r="D56" s="20">
        <v>0</v>
      </c>
      <c r="E56" s="20">
        <v>0</v>
      </c>
      <c r="F56" s="20">
        <v>0</v>
      </c>
      <c r="G56" s="15">
        <v>0</v>
      </c>
      <c r="H56" s="15">
        <v>0</v>
      </c>
      <c r="I56" s="15">
        <v>0</v>
      </c>
      <c r="J56" s="15">
        <f>'2 lentelė'!L53</f>
        <v>567059</v>
      </c>
      <c r="K56" s="15">
        <f>'2 lentelė'!Q53</f>
        <v>482000</v>
      </c>
      <c r="L56" s="15">
        <v>0</v>
      </c>
      <c r="M56" s="15">
        <v>0</v>
      </c>
      <c r="N56" s="15">
        <v>0</v>
      </c>
      <c r="O56" s="15">
        <v>0</v>
      </c>
      <c r="P56" s="15">
        <v>0</v>
      </c>
      <c r="Q56" s="15">
        <v>0</v>
      </c>
      <c r="R56" s="15">
        <f t="shared" ref="R56:S60" si="19">D56+F56+H56+J56+L56+N56+P56</f>
        <v>567059</v>
      </c>
      <c r="S56" s="15">
        <f t="shared" si="19"/>
        <v>482000</v>
      </c>
    </row>
    <row r="57" spans="2:19" s="7" customFormat="1" ht="38.25" hidden="1" x14ac:dyDescent="0.25">
      <c r="B57" s="31" t="s">
        <v>230</v>
      </c>
      <c r="C57" s="32" t="s">
        <v>231</v>
      </c>
      <c r="D57" s="20">
        <v>0</v>
      </c>
      <c r="E57" s="20">
        <v>0</v>
      </c>
      <c r="F57" s="20">
        <v>0</v>
      </c>
      <c r="G57" s="15">
        <v>0</v>
      </c>
      <c r="H57" s="15">
        <f>'2 lentelė'!L54</f>
        <v>50000</v>
      </c>
      <c r="I57" s="15">
        <f>'2 lentelė'!Q54</f>
        <v>42500</v>
      </c>
      <c r="J57" s="15">
        <v>0</v>
      </c>
      <c r="K57" s="15">
        <v>0</v>
      </c>
      <c r="L57" s="15">
        <v>0</v>
      </c>
      <c r="M57" s="15">
        <v>0</v>
      </c>
      <c r="N57" s="15">
        <v>0</v>
      </c>
      <c r="O57" s="15">
        <v>0</v>
      </c>
      <c r="P57" s="15">
        <v>0</v>
      </c>
      <c r="Q57" s="15">
        <v>0</v>
      </c>
      <c r="R57" s="15">
        <f t="shared" si="19"/>
        <v>50000</v>
      </c>
      <c r="S57" s="15">
        <f t="shared" si="19"/>
        <v>42500</v>
      </c>
    </row>
    <row r="58" spans="2:19" s="7" customFormat="1" ht="51" hidden="1" x14ac:dyDescent="0.25">
      <c r="B58" s="31" t="s">
        <v>232</v>
      </c>
      <c r="C58" s="32" t="s">
        <v>233</v>
      </c>
      <c r="D58" s="20">
        <v>0</v>
      </c>
      <c r="E58" s="20">
        <v>0</v>
      </c>
      <c r="F58" s="20">
        <v>0</v>
      </c>
      <c r="G58" s="15">
        <v>0</v>
      </c>
      <c r="H58" s="15">
        <v>0</v>
      </c>
      <c r="I58" s="15">
        <v>0</v>
      </c>
      <c r="J58" s="15">
        <f>'2 lentelė'!L55</f>
        <v>1158824</v>
      </c>
      <c r="K58" s="15">
        <f>'2 lentelė'!Q55</f>
        <v>985000</v>
      </c>
      <c r="L58" s="15">
        <v>0</v>
      </c>
      <c r="M58" s="15">
        <v>0</v>
      </c>
      <c r="N58" s="15">
        <v>0</v>
      </c>
      <c r="O58" s="15">
        <v>0</v>
      </c>
      <c r="P58" s="15">
        <v>0</v>
      </c>
      <c r="Q58" s="15">
        <v>0</v>
      </c>
      <c r="R58" s="15">
        <f t="shared" si="19"/>
        <v>1158824</v>
      </c>
      <c r="S58" s="15">
        <f t="shared" si="19"/>
        <v>985000</v>
      </c>
    </row>
    <row r="59" spans="2:19" s="7" customFormat="1" ht="24.75" hidden="1" customHeight="1" x14ac:dyDescent="0.25">
      <c r="B59" s="31" t="s">
        <v>234</v>
      </c>
      <c r="C59" s="32" t="s">
        <v>235</v>
      </c>
      <c r="D59" s="20">
        <v>0</v>
      </c>
      <c r="E59" s="20">
        <v>0</v>
      </c>
      <c r="F59" s="20">
        <v>0</v>
      </c>
      <c r="G59" s="20">
        <v>0</v>
      </c>
      <c r="H59" s="39">
        <v>0</v>
      </c>
      <c r="I59" s="39">
        <v>0</v>
      </c>
      <c r="J59" s="39">
        <f>'2 lentelė'!L56</f>
        <v>15700</v>
      </c>
      <c r="K59" s="39">
        <f>'2 lentelė'!Q56</f>
        <v>13345</v>
      </c>
      <c r="L59" s="20">
        <v>0</v>
      </c>
      <c r="M59" s="20">
        <v>0</v>
      </c>
      <c r="N59" s="20">
        <v>0</v>
      </c>
      <c r="O59" s="20">
        <v>0</v>
      </c>
      <c r="P59" s="20">
        <v>0</v>
      </c>
      <c r="Q59" s="20">
        <v>0</v>
      </c>
      <c r="R59" s="15">
        <f t="shared" si="19"/>
        <v>15700</v>
      </c>
      <c r="S59" s="15">
        <f t="shared" si="19"/>
        <v>13345</v>
      </c>
    </row>
    <row r="60" spans="2:19" s="7" customFormat="1" ht="38.25" hidden="1" x14ac:dyDescent="0.25">
      <c r="B60" s="31" t="s">
        <v>236</v>
      </c>
      <c r="C60" s="32" t="s">
        <v>237</v>
      </c>
      <c r="D60" s="20">
        <v>0</v>
      </c>
      <c r="E60" s="20">
        <v>0</v>
      </c>
      <c r="F60" s="20">
        <v>0</v>
      </c>
      <c r="G60" s="15">
        <v>0</v>
      </c>
      <c r="H60" s="15">
        <v>0</v>
      </c>
      <c r="I60" s="15">
        <v>0</v>
      </c>
      <c r="J60" s="15">
        <f>'2 lentelė'!L57</f>
        <v>10000</v>
      </c>
      <c r="K60" s="15">
        <f>'2 lentelė'!Q57</f>
        <v>0</v>
      </c>
      <c r="L60" s="15">
        <v>0</v>
      </c>
      <c r="M60" s="15">
        <v>0</v>
      </c>
      <c r="N60" s="15">
        <v>0</v>
      </c>
      <c r="O60" s="15">
        <v>0</v>
      </c>
      <c r="P60" s="15">
        <v>0</v>
      </c>
      <c r="Q60" s="15">
        <v>0</v>
      </c>
      <c r="R60" s="15">
        <f t="shared" si="19"/>
        <v>10000</v>
      </c>
      <c r="S60" s="15">
        <f t="shared" si="19"/>
        <v>0</v>
      </c>
    </row>
    <row r="61" spans="2:19" s="7" customFormat="1" ht="51" hidden="1" x14ac:dyDescent="0.25">
      <c r="B61" s="30" t="s">
        <v>238</v>
      </c>
      <c r="C61" s="30" t="s">
        <v>239</v>
      </c>
      <c r="D61" s="30">
        <f t="shared" ref="D61:S61" si="20">D62+D63+D64</f>
        <v>0</v>
      </c>
      <c r="E61" s="30">
        <f t="shared" si="20"/>
        <v>0</v>
      </c>
      <c r="F61" s="30">
        <f t="shared" si="20"/>
        <v>0</v>
      </c>
      <c r="G61" s="30">
        <f t="shared" si="20"/>
        <v>0</v>
      </c>
      <c r="H61" s="30">
        <f t="shared" si="20"/>
        <v>0</v>
      </c>
      <c r="I61" s="30">
        <f t="shared" si="20"/>
        <v>0</v>
      </c>
      <c r="J61" s="30">
        <f t="shared" si="20"/>
        <v>0</v>
      </c>
      <c r="K61" s="30">
        <f t="shared" si="20"/>
        <v>0</v>
      </c>
      <c r="L61" s="30">
        <f t="shared" si="20"/>
        <v>813900</v>
      </c>
      <c r="M61" s="30">
        <f t="shared" si="20"/>
        <v>691815</v>
      </c>
      <c r="N61" s="30">
        <f t="shared" si="20"/>
        <v>0</v>
      </c>
      <c r="O61" s="30">
        <f t="shared" si="20"/>
        <v>0</v>
      </c>
      <c r="P61" s="30">
        <f t="shared" si="20"/>
        <v>0</v>
      </c>
      <c r="Q61" s="30">
        <f t="shared" si="20"/>
        <v>0</v>
      </c>
      <c r="R61" s="30">
        <f t="shared" si="20"/>
        <v>813900</v>
      </c>
      <c r="S61" s="30">
        <f t="shared" si="20"/>
        <v>691815</v>
      </c>
    </row>
    <row r="62" spans="2:19" s="7" customFormat="1" ht="12.75" hidden="1" customHeight="1" x14ac:dyDescent="0.25">
      <c r="B62" s="31"/>
      <c r="C62" s="32"/>
      <c r="D62" s="20"/>
      <c r="E62" s="20"/>
      <c r="F62" s="20"/>
      <c r="G62" s="15"/>
      <c r="H62" s="15"/>
      <c r="I62" s="15"/>
      <c r="J62" s="15"/>
      <c r="K62" s="15"/>
      <c r="L62" s="15"/>
      <c r="M62" s="15"/>
      <c r="N62" s="15"/>
      <c r="O62" s="15"/>
      <c r="P62" s="15"/>
      <c r="Q62" s="15"/>
      <c r="R62" s="15"/>
      <c r="S62" s="15"/>
    </row>
    <row r="63" spans="2:19" s="7" customFormat="1" ht="16.5" hidden="1" customHeight="1" x14ac:dyDescent="0.25">
      <c r="B63" s="31"/>
      <c r="C63" s="32"/>
      <c r="D63" s="20"/>
      <c r="E63" s="20"/>
      <c r="F63" s="20"/>
      <c r="G63" s="15"/>
      <c r="H63" s="15"/>
      <c r="I63" s="15"/>
      <c r="J63" s="15"/>
      <c r="K63" s="15"/>
      <c r="L63" s="15"/>
      <c r="M63" s="15"/>
      <c r="N63" s="15"/>
      <c r="O63" s="15"/>
      <c r="P63" s="15"/>
      <c r="Q63" s="15"/>
      <c r="R63" s="15"/>
      <c r="S63" s="15"/>
    </row>
    <row r="64" spans="2:19" s="7" customFormat="1" ht="51" hidden="1" x14ac:dyDescent="0.25">
      <c r="B64" s="31" t="s">
        <v>240</v>
      </c>
      <c r="C64" s="32" t="s">
        <v>241</v>
      </c>
      <c r="D64" s="20">
        <v>0</v>
      </c>
      <c r="E64" s="20">
        <v>0</v>
      </c>
      <c r="F64" s="20">
        <v>0</v>
      </c>
      <c r="G64" s="15">
        <v>0</v>
      </c>
      <c r="H64" s="15">
        <v>0</v>
      </c>
      <c r="I64" s="15">
        <v>0</v>
      </c>
      <c r="J64" s="15">
        <v>0</v>
      </c>
      <c r="K64" s="15">
        <v>0</v>
      </c>
      <c r="L64" s="15">
        <f>'2 lentelė'!L60</f>
        <v>813900</v>
      </c>
      <c r="M64" s="15">
        <f>'2 lentelė'!Q60</f>
        <v>691815</v>
      </c>
      <c r="N64" s="15">
        <v>0</v>
      </c>
      <c r="O64" s="15">
        <v>0</v>
      </c>
      <c r="P64" s="15">
        <v>0</v>
      </c>
      <c r="Q64" s="15">
        <v>0</v>
      </c>
      <c r="R64" s="15">
        <f>D64+F64+H64+J64+L64+N64+P64</f>
        <v>813900</v>
      </c>
      <c r="S64" s="15">
        <f>E64+G64+I64+K64+M64+O64+Q64</f>
        <v>691815</v>
      </c>
    </row>
    <row r="65" spans="2:19" s="7" customFormat="1" ht="25.5" hidden="1" x14ac:dyDescent="0.25">
      <c r="B65" s="72" t="s">
        <v>972</v>
      </c>
      <c r="C65" s="70" t="s">
        <v>973</v>
      </c>
      <c r="D65" s="70">
        <f>D66+D76+D111</f>
        <v>0</v>
      </c>
      <c r="E65" s="70">
        <f t="shared" ref="E65:S65" si="21">E66+E76+E111</f>
        <v>0</v>
      </c>
      <c r="F65" s="70">
        <f t="shared" si="21"/>
        <v>0</v>
      </c>
      <c r="G65" s="70">
        <f t="shared" si="21"/>
        <v>0</v>
      </c>
      <c r="H65" s="70">
        <f t="shared" si="21"/>
        <v>11356694.16</v>
      </c>
      <c r="I65" s="70">
        <f t="shared" si="21"/>
        <v>6495270.9699999997</v>
      </c>
      <c r="J65" s="70">
        <f t="shared" si="21"/>
        <v>10021086.380000001</v>
      </c>
      <c r="K65" s="70">
        <f t="shared" si="21"/>
        <v>8212076.8900000006</v>
      </c>
      <c r="L65" s="70">
        <f t="shared" si="21"/>
        <v>2518766.27</v>
      </c>
      <c r="M65" s="70">
        <f t="shared" si="21"/>
        <v>2104110.06</v>
      </c>
      <c r="N65" s="70">
        <f t="shared" si="21"/>
        <v>4435844.5199999996</v>
      </c>
      <c r="O65" s="70">
        <f t="shared" si="21"/>
        <v>2600807</v>
      </c>
      <c r="P65" s="70">
        <f t="shared" si="21"/>
        <v>0</v>
      </c>
      <c r="Q65" s="70">
        <f t="shared" si="21"/>
        <v>0</v>
      </c>
      <c r="R65" s="70">
        <f t="shared" si="21"/>
        <v>28332391.330000002</v>
      </c>
      <c r="S65" s="70">
        <f t="shared" si="21"/>
        <v>19412264.920000002</v>
      </c>
    </row>
    <row r="66" spans="2:19" s="7" customFormat="1" ht="51" hidden="1" x14ac:dyDescent="0.25">
      <c r="B66" s="12" t="s">
        <v>242</v>
      </c>
      <c r="C66" s="33" t="s">
        <v>243</v>
      </c>
      <c r="D66" s="12">
        <v>0</v>
      </c>
      <c r="E66" s="33">
        <v>0</v>
      </c>
      <c r="F66" s="12">
        <v>0</v>
      </c>
      <c r="G66" s="33">
        <v>0</v>
      </c>
      <c r="H66" s="12">
        <f t="shared" ref="H66:R66" si="22">H67+H73</f>
        <v>0</v>
      </c>
      <c r="I66" s="33">
        <f t="shared" si="22"/>
        <v>0</v>
      </c>
      <c r="J66" s="12">
        <f t="shared" si="22"/>
        <v>1704482.73</v>
      </c>
      <c r="K66" s="33">
        <f t="shared" si="22"/>
        <v>1434657.8900000001</v>
      </c>
      <c r="L66" s="12">
        <f t="shared" si="22"/>
        <v>0</v>
      </c>
      <c r="M66" s="33">
        <f t="shared" si="22"/>
        <v>0</v>
      </c>
      <c r="N66" s="12">
        <f t="shared" si="22"/>
        <v>0</v>
      </c>
      <c r="O66" s="33">
        <f t="shared" si="22"/>
        <v>0</v>
      </c>
      <c r="P66" s="12">
        <f t="shared" si="22"/>
        <v>0</v>
      </c>
      <c r="Q66" s="33">
        <f t="shared" si="22"/>
        <v>0</v>
      </c>
      <c r="R66" s="12">
        <f t="shared" si="22"/>
        <v>1704482.73</v>
      </c>
      <c r="S66" s="33">
        <f>S67+S73</f>
        <v>1434657.8900000001</v>
      </c>
    </row>
    <row r="67" spans="2:19" s="7" customFormat="1" ht="38.25" hidden="1" x14ac:dyDescent="0.25">
      <c r="B67" s="13" t="s">
        <v>244</v>
      </c>
      <c r="C67" s="28" t="s">
        <v>245</v>
      </c>
      <c r="D67" s="13">
        <v>0</v>
      </c>
      <c r="E67" s="28">
        <v>0</v>
      </c>
      <c r="F67" s="13">
        <v>0</v>
      </c>
      <c r="G67" s="28">
        <v>0</v>
      </c>
      <c r="H67" s="13">
        <f>SUM(H68)</f>
        <v>0</v>
      </c>
      <c r="I67" s="28">
        <f t="shared" ref="I67:R67" si="23">SUM(I68)</f>
        <v>0</v>
      </c>
      <c r="J67" s="13">
        <f t="shared" si="23"/>
        <v>1405733.45</v>
      </c>
      <c r="K67" s="28">
        <f t="shared" si="23"/>
        <v>1180721</v>
      </c>
      <c r="L67" s="13">
        <f t="shared" si="23"/>
        <v>0</v>
      </c>
      <c r="M67" s="28">
        <f t="shared" si="23"/>
        <v>0</v>
      </c>
      <c r="N67" s="13">
        <f t="shared" si="23"/>
        <v>0</v>
      </c>
      <c r="O67" s="28">
        <f t="shared" si="23"/>
        <v>0</v>
      </c>
      <c r="P67" s="13">
        <f t="shared" si="23"/>
        <v>0</v>
      </c>
      <c r="Q67" s="28">
        <f t="shared" si="23"/>
        <v>0</v>
      </c>
      <c r="R67" s="13">
        <f t="shared" si="23"/>
        <v>1405733.45</v>
      </c>
      <c r="S67" s="28">
        <f>SUM(S68)</f>
        <v>1180721</v>
      </c>
    </row>
    <row r="68" spans="2:19" s="7" customFormat="1" ht="38.25" hidden="1" x14ac:dyDescent="0.25">
      <c r="B68" s="30" t="s">
        <v>246</v>
      </c>
      <c r="C68" s="30" t="s">
        <v>247</v>
      </c>
      <c r="D68" s="30">
        <v>0</v>
      </c>
      <c r="E68" s="30">
        <v>0</v>
      </c>
      <c r="F68" s="30">
        <v>0</v>
      </c>
      <c r="G68" s="30">
        <v>0</v>
      </c>
      <c r="H68" s="30">
        <f>SUM(H70:H72)</f>
        <v>0</v>
      </c>
      <c r="I68" s="30">
        <f>SUM(I70:I72)</f>
        <v>0</v>
      </c>
      <c r="J68" s="30">
        <f>SUM(J69:J72)</f>
        <v>1405733.45</v>
      </c>
      <c r="K68" s="30">
        <f>SUM(K69:K72)</f>
        <v>1180721</v>
      </c>
      <c r="L68" s="30">
        <f t="shared" ref="L68:Q68" si="24">SUM(L69:L72)</f>
        <v>0</v>
      </c>
      <c r="M68" s="30">
        <f t="shared" si="24"/>
        <v>0</v>
      </c>
      <c r="N68" s="30">
        <f t="shared" si="24"/>
        <v>0</v>
      </c>
      <c r="O68" s="30">
        <f t="shared" si="24"/>
        <v>0</v>
      </c>
      <c r="P68" s="30">
        <f t="shared" si="24"/>
        <v>0</v>
      </c>
      <c r="Q68" s="30">
        <f t="shared" si="24"/>
        <v>0</v>
      </c>
      <c r="R68" s="30">
        <f>SUM(R69:R72)</f>
        <v>1405733.45</v>
      </c>
      <c r="S68" s="30">
        <f>SUM(S69:S72)</f>
        <v>1180721</v>
      </c>
    </row>
    <row r="69" spans="2:19" s="7" customFormat="1" ht="76.5" hidden="1" x14ac:dyDescent="0.25">
      <c r="B69" s="31" t="s">
        <v>248</v>
      </c>
      <c r="C69" s="32" t="s">
        <v>249</v>
      </c>
      <c r="D69" s="20">
        <v>0</v>
      </c>
      <c r="E69" s="20">
        <v>0</v>
      </c>
      <c r="F69" s="20">
        <v>0</v>
      </c>
      <c r="G69" s="15">
        <v>0</v>
      </c>
      <c r="H69" s="15">
        <v>0</v>
      </c>
      <c r="I69" s="15">
        <v>0</v>
      </c>
      <c r="J69" s="15">
        <f>'2 lentelė'!L65</f>
        <v>511094</v>
      </c>
      <c r="K69" s="15">
        <f>'2 lentelė'!Q65</f>
        <v>434430</v>
      </c>
      <c r="L69" s="15">
        <v>0</v>
      </c>
      <c r="M69" s="15">
        <v>0</v>
      </c>
      <c r="N69" s="15">
        <v>0</v>
      </c>
      <c r="O69" s="15">
        <v>0</v>
      </c>
      <c r="P69" s="15">
        <v>0</v>
      </c>
      <c r="Q69" s="15">
        <v>0</v>
      </c>
      <c r="R69" s="15">
        <f t="shared" ref="R69:S72" si="25">D69+F69+H69+J69+L69+N69+P69</f>
        <v>511094</v>
      </c>
      <c r="S69" s="15">
        <f t="shared" si="25"/>
        <v>434430</v>
      </c>
    </row>
    <row r="70" spans="2:19" s="7" customFormat="1" ht="64.5" hidden="1" customHeight="1" x14ac:dyDescent="0.25">
      <c r="B70" s="31" t="s">
        <v>250</v>
      </c>
      <c r="C70" s="32" t="s">
        <v>251</v>
      </c>
      <c r="D70" s="20">
        <v>0</v>
      </c>
      <c r="E70" s="20">
        <v>0</v>
      </c>
      <c r="F70" s="20">
        <v>0</v>
      </c>
      <c r="G70" s="15">
        <v>0</v>
      </c>
      <c r="H70" s="15">
        <v>0</v>
      </c>
      <c r="I70" s="15">
        <v>0</v>
      </c>
      <c r="J70" s="15">
        <f>'2 lentelė'!L66</f>
        <v>282956.7</v>
      </c>
      <c r="K70" s="15">
        <f>'2 lentelė'!Q66</f>
        <v>240513.19</v>
      </c>
      <c r="L70" s="15">
        <v>0</v>
      </c>
      <c r="M70" s="15">
        <v>0</v>
      </c>
      <c r="N70" s="15">
        <v>0</v>
      </c>
      <c r="O70" s="15">
        <v>0</v>
      </c>
      <c r="P70" s="15">
        <v>0</v>
      </c>
      <c r="Q70" s="15">
        <v>0</v>
      </c>
      <c r="R70" s="15">
        <f t="shared" si="25"/>
        <v>282956.7</v>
      </c>
      <c r="S70" s="15">
        <f t="shared" si="25"/>
        <v>240513.19</v>
      </c>
    </row>
    <row r="71" spans="2:19" s="7" customFormat="1" ht="127.5" hidden="1" x14ac:dyDescent="0.25">
      <c r="B71" s="31" t="s">
        <v>252</v>
      </c>
      <c r="C71" s="32" t="s">
        <v>253</v>
      </c>
      <c r="D71" s="20">
        <v>0</v>
      </c>
      <c r="E71" s="20">
        <v>0</v>
      </c>
      <c r="F71" s="20">
        <v>0</v>
      </c>
      <c r="G71" s="15">
        <v>0</v>
      </c>
      <c r="H71" s="15">
        <v>0</v>
      </c>
      <c r="I71" s="15">
        <v>0</v>
      </c>
      <c r="J71" s="15">
        <f>'2 lentelė'!L67</f>
        <v>274660</v>
      </c>
      <c r="K71" s="15">
        <f>'2 lentelė'!Q67</f>
        <v>221058</v>
      </c>
      <c r="L71" s="15">
        <v>0</v>
      </c>
      <c r="M71" s="15">
        <v>0</v>
      </c>
      <c r="N71" s="15">
        <v>0</v>
      </c>
      <c r="O71" s="15">
        <v>0</v>
      </c>
      <c r="P71" s="15">
        <v>0</v>
      </c>
      <c r="Q71" s="15">
        <v>0</v>
      </c>
      <c r="R71" s="15">
        <f t="shared" si="25"/>
        <v>274660</v>
      </c>
      <c r="S71" s="15">
        <f t="shared" si="25"/>
        <v>221058</v>
      </c>
    </row>
    <row r="72" spans="2:19" s="7" customFormat="1" ht="51" hidden="1" x14ac:dyDescent="0.25">
      <c r="B72" s="31" t="s">
        <v>254</v>
      </c>
      <c r="C72" s="32" t="s">
        <v>255</v>
      </c>
      <c r="D72" s="20">
        <v>0</v>
      </c>
      <c r="E72" s="20">
        <v>0</v>
      </c>
      <c r="F72" s="20">
        <v>0</v>
      </c>
      <c r="G72" s="15">
        <v>0</v>
      </c>
      <c r="H72" s="15">
        <v>0</v>
      </c>
      <c r="I72" s="15">
        <v>0</v>
      </c>
      <c r="J72" s="15">
        <f>'2 lentelė'!L68</f>
        <v>337022.75</v>
      </c>
      <c r="K72" s="15">
        <f>'2 lentelė'!Q68</f>
        <v>284719.81</v>
      </c>
      <c r="L72" s="15">
        <v>0</v>
      </c>
      <c r="M72" s="15">
        <v>0</v>
      </c>
      <c r="N72" s="15">
        <v>0</v>
      </c>
      <c r="O72" s="15">
        <v>0</v>
      </c>
      <c r="P72" s="15">
        <v>0</v>
      </c>
      <c r="Q72" s="15">
        <v>0</v>
      </c>
      <c r="R72" s="15">
        <f t="shared" si="25"/>
        <v>337022.75</v>
      </c>
      <c r="S72" s="15">
        <f t="shared" si="25"/>
        <v>284719.81</v>
      </c>
    </row>
    <row r="73" spans="2:19" s="7" customFormat="1" ht="38.25" hidden="1" x14ac:dyDescent="0.25">
      <c r="B73" s="13" t="s">
        <v>256</v>
      </c>
      <c r="C73" s="28" t="s">
        <v>257</v>
      </c>
      <c r="D73" s="13">
        <v>0</v>
      </c>
      <c r="E73" s="28">
        <v>0</v>
      </c>
      <c r="F73" s="13">
        <v>0</v>
      </c>
      <c r="G73" s="28">
        <v>0</v>
      </c>
      <c r="H73" s="13">
        <f>SUM(H74)</f>
        <v>0</v>
      </c>
      <c r="I73" s="28">
        <f t="shared" ref="I73:S73" si="26">SUM(I74)</f>
        <v>0</v>
      </c>
      <c r="J73" s="13">
        <f t="shared" si="26"/>
        <v>298749.28000000003</v>
      </c>
      <c r="K73" s="28">
        <f t="shared" si="26"/>
        <v>253936.89</v>
      </c>
      <c r="L73" s="13">
        <f t="shared" si="26"/>
        <v>0</v>
      </c>
      <c r="M73" s="28">
        <f t="shared" si="26"/>
        <v>0</v>
      </c>
      <c r="N73" s="13">
        <f t="shared" si="26"/>
        <v>0</v>
      </c>
      <c r="O73" s="28">
        <f t="shared" si="26"/>
        <v>0</v>
      </c>
      <c r="P73" s="13">
        <f t="shared" si="26"/>
        <v>0</v>
      </c>
      <c r="Q73" s="28">
        <f t="shared" si="26"/>
        <v>0</v>
      </c>
      <c r="R73" s="13">
        <f t="shared" si="26"/>
        <v>298749.28000000003</v>
      </c>
      <c r="S73" s="28">
        <f t="shared" si="26"/>
        <v>253936.89</v>
      </c>
    </row>
    <row r="74" spans="2:19" s="7" customFormat="1" ht="63.75" hidden="1" x14ac:dyDescent="0.25">
      <c r="B74" s="30" t="s">
        <v>258</v>
      </c>
      <c r="C74" s="30" t="s">
        <v>259</v>
      </c>
      <c r="D74" s="30">
        <f>D75</f>
        <v>0</v>
      </c>
      <c r="E74" s="30">
        <f t="shared" ref="E74:R74" si="27">E75</f>
        <v>0</v>
      </c>
      <c r="F74" s="30">
        <f t="shared" si="27"/>
        <v>0</v>
      </c>
      <c r="G74" s="30">
        <f t="shared" si="27"/>
        <v>0</v>
      </c>
      <c r="H74" s="30">
        <f t="shared" si="27"/>
        <v>0</v>
      </c>
      <c r="I74" s="30">
        <f t="shared" si="27"/>
        <v>0</v>
      </c>
      <c r="J74" s="30">
        <f t="shared" si="27"/>
        <v>298749.28000000003</v>
      </c>
      <c r="K74" s="30">
        <f t="shared" si="27"/>
        <v>253936.89</v>
      </c>
      <c r="L74" s="30">
        <f t="shared" si="27"/>
        <v>0</v>
      </c>
      <c r="M74" s="30">
        <f t="shared" si="27"/>
        <v>0</v>
      </c>
      <c r="N74" s="30">
        <f t="shared" si="27"/>
        <v>0</v>
      </c>
      <c r="O74" s="30">
        <f t="shared" si="27"/>
        <v>0</v>
      </c>
      <c r="P74" s="30">
        <f t="shared" si="27"/>
        <v>0</v>
      </c>
      <c r="Q74" s="30">
        <f t="shared" si="27"/>
        <v>0</v>
      </c>
      <c r="R74" s="30">
        <f t="shared" si="27"/>
        <v>298749.28000000003</v>
      </c>
      <c r="S74" s="30">
        <f>S75</f>
        <v>253936.89</v>
      </c>
    </row>
    <row r="75" spans="2:19" s="7" customFormat="1" ht="76.5" hidden="1" x14ac:dyDescent="0.25">
      <c r="B75" s="31" t="s">
        <v>260</v>
      </c>
      <c r="C75" s="32" t="s">
        <v>261</v>
      </c>
      <c r="D75" s="20">
        <v>0</v>
      </c>
      <c r="E75" s="20">
        <v>0</v>
      </c>
      <c r="F75" s="20">
        <v>0</v>
      </c>
      <c r="G75" s="15">
        <v>0</v>
      </c>
      <c r="H75" s="15">
        <v>0</v>
      </c>
      <c r="I75" s="15">
        <v>0</v>
      </c>
      <c r="J75" s="15">
        <f>'2 lentelė'!L71</f>
        <v>298749.28000000003</v>
      </c>
      <c r="K75" s="15">
        <f>'2 lentelė'!Q71</f>
        <v>253936.89</v>
      </c>
      <c r="L75" s="15">
        <v>0</v>
      </c>
      <c r="M75" s="15">
        <v>0</v>
      </c>
      <c r="N75" s="15">
        <v>0</v>
      </c>
      <c r="O75" s="15">
        <v>0</v>
      </c>
      <c r="P75" s="15">
        <v>0</v>
      </c>
      <c r="Q75" s="15">
        <v>0</v>
      </c>
      <c r="R75" s="15">
        <f>D75+F75+H75+J75+L75+N75+P75</f>
        <v>298749.28000000003</v>
      </c>
      <c r="S75" s="15">
        <f>E75+G75+I75+K75+M75+O75+Q75</f>
        <v>253936.89</v>
      </c>
    </row>
    <row r="76" spans="2:19" s="7" customFormat="1" ht="37.5" hidden="1" customHeight="1" x14ac:dyDescent="0.25">
      <c r="B76" s="12" t="s">
        <v>262</v>
      </c>
      <c r="C76" s="33" t="s">
        <v>263</v>
      </c>
      <c r="D76" s="12">
        <v>0</v>
      </c>
      <c r="E76" s="33">
        <v>0</v>
      </c>
      <c r="F76" s="12">
        <v>0</v>
      </c>
      <c r="G76" s="33">
        <f t="shared" ref="G76:S76" si="28">G77+G99</f>
        <v>0</v>
      </c>
      <c r="H76" s="33">
        <f t="shared" si="28"/>
        <v>11356694.16</v>
      </c>
      <c r="I76" s="33">
        <f t="shared" si="28"/>
        <v>6495270.9699999997</v>
      </c>
      <c r="J76" s="33">
        <f t="shared" si="28"/>
        <v>8316603.6500000004</v>
      </c>
      <c r="K76" s="33">
        <f t="shared" si="28"/>
        <v>6777419</v>
      </c>
      <c r="L76" s="33">
        <f t="shared" si="28"/>
        <v>474390.27</v>
      </c>
      <c r="M76" s="33">
        <f t="shared" si="28"/>
        <v>366390.06</v>
      </c>
      <c r="N76" s="33">
        <f t="shared" si="28"/>
        <v>4435844.5199999996</v>
      </c>
      <c r="O76" s="33">
        <f t="shared" si="28"/>
        <v>2600807</v>
      </c>
      <c r="P76" s="33">
        <f t="shared" si="28"/>
        <v>0</v>
      </c>
      <c r="Q76" s="33">
        <f t="shared" si="28"/>
        <v>0</v>
      </c>
      <c r="R76" s="33">
        <f t="shared" si="28"/>
        <v>24583532.600000001</v>
      </c>
      <c r="S76" s="33">
        <f t="shared" si="28"/>
        <v>16239887.030000001</v>
      </c>
    </row>
    <row r="77" spans="2:19" s="7" customFormat="1" ht="78" hidden="1" customHeight="1" x14ac:dyDescent="0.25">
      <c r="B77" s="13" t="s">
        <v>264</v>
      </c>
      <c r="C77" s="28" t="s">
        <v>265</v>
      </c>
      <c r="D77" s="13">
        <v>0</v>
      </c>
      <c r="E77" s="28">
        <v>0</v>
      </c>
      <c r="F77" s="13">
        <v>0</v>
      </c>
      <c r="G77" s="28">
        <f t="shared" ref="G77:S77" si="29">G78+G89+G92</f>
        <v>0</v>
      </c>
      <c r="H77" s="28">
        <f t="shared" si="29"/>
        <v>11117858.689999999</v>
      </c>
      <c r="I77" s="28">
        <f t="shared" si="29"/>
        <v>6292260.8300000001</v>
      </c>
      <c r="J77" s="28">
        <f t="shared" si="29"/>
        <v>6697932.04</v>
      </c>
      <c r="K77" s="28">
        <f t="shared" si="29"/>
        <v>5401548.1600000001</v>
      </c>
      <c r="L77" s="28">
        <f t="shared" si="29"/>
        <v>0</v>
      </c>
      <c r="M77" s="28">
        <f t="shared" si="29"/>
        <v>0</v>
      </c>
      <c r="N77" s="28">
        <f t="shared" si="29"/>
        <v>3236819.8</v>
      </c>
      <c r="O77" s="28">
        <f t="shared" si="29"/>
        <v>1581636</v>
      </c>
      <c r="P77" s="28">
        <f t="shared" si="29"/>
        <v>0</v>
      </c>
      <c r="Q77" s="28">
        <f t="shared" si="29"/>
        <v>0</v>
      </c>
      <c r="R77" s="28">
        <f t="shared" si="29"/>
        <v>21052610.530000001</v>
      </c>
      <c r="S77" s="28">
        <f t="shared" si="29"/>
        <v>13275444.99</v>
      </c>
    </row>
    <row r="78" spans="2:19" s="7" customFormat="1" ht="76.5" x14ac:dyDescent="0.25">
      <c r="B78" s="30" t="s">
        <v>266</v>
      </c>
      <c r="C78" s="30" t="s">
        <v>267</v>
      </c>
      <c r="D78" s="30">
        <v>0</v>
      </c>
      <c r="E78" s="30">
        <v>0</v>
      </c>
      <c r="F78" s="30">
        <v>0</v>
      </c>
      <c r="G78" s="30">
        <v>0</v>
      </c>
      <c r="H78" s="79">
        <f>SUM(H79:H88)</f>
        <v>11117858.689999999</v>
      </c>
      <c r="I78" s="79">
        <f t="shared" ref="I78:S78" si="30">SUM(I79:I88)</f>
        <v>6292260.8300000001</v>
      </c>
      <c r="J78" s="79">
        <f t="shared" si="30"/>
        <v>1229574.68</v>
      </c>
      <c r="K78" s="79">
        <f t="shared" si="30"/>
        <v>823834.4</v>
      </c>
      <c r="L78" s="30">
        <f t="shared" si="30"/>
        <v>0</v>
      </c>
      <c r="M78" s="30">
        <f t="shared" si="30"/>
        <v>0</v>
      </c>
      <c r="N78" s="30">
        <f t="shared" si="30"/>
        <v>3236819.8</v>
      </c>
      <c r="O78" s="30">
        <f t="shared" si="30"/>
        <v>1581636</v>
      </c>
      <c r="P78" s="30">
        <f t="shared" si="30"/>
        <v>0</v>
      </c>
      <c r="Q78" s="30">
        <f t="shared" si="30"/>
        <v>0</v>
      </c>
      <c r="R78" s="30">
        <f t="shared" si="30"/>
        <v>15584253.17</v>
      </c>
      <c r="S78" s="30">
        <f t="shared" si="30"/>
        <v>8697731.2300000004</v>
      </c>
    </row>
    <row r="79" spans="2:19" s="7" customFormat="1" ht="51" hidden="1" x14ac:dyDescent="0.25">
      <c r="B79" s="31" t="s">
        <v>268</v>
      </c>
      <c r="C79" s="32" t="s">
        <v>269</v>
      </c>
      <c r="D79" s="20">
        <v>0</v>
      </c>
      <c r="E79" s="20">
        <v>0</v>
      </c>
      <c r="F79" s="20">
        <v>0</v>
      </c>
      <c r="G79" s="15">
        <v>0</v>
      </c>
      <c r="H79" s="15">
        <f>'2 lentelė'!L75</f>
        <v>1685986.17</v>
      </c>
      <c r="I79" s="15">
        <f>'2 lentelė'!Q75</f>
        <v>789008.78</v>
      </c>
      <c r="J79" s="15">
        <v>0</v>
      </c>
      <c r="K79" s="15">
        <v>0</v>
      </c>
      <c r="L79" s="15">
        <v>0</v>
      </c>
      <c r="M79" s="15">
        <v>0</v>
      </c>
      <c r="N79" s="15">
        <v>0</v>
      </c>
      <c r="O79" s="15">
        <v>0</v>
      </c>
      <c r="P79" s="15">
        <v>0</v>
      </c>
      <c r="Q79" s="15">
        <v>0</v>
      </c>
      <c r="R79" s="15">
        <f t="shared" ref="R79:S84" si="31">D79+F79+H79+J79+L79+N79+P79</f>
        <v>1685986.17</v>
      </c>
      <c r="S79" s="15">
        <f t="shared" si="31"/>
        <v>789008.78</v>
      </c>
    </row>
    <row r="80" spans="2:19" s="7" customFormat="1" ht="63.75" hidden="1" x14ac:dyDescent="0.25">
      <c r="B80" s="31" t="s">
        <v>270</v>
      </c>
      <c r="C80" s="32" t="s">
        <v>271</v>
      </c>
      <c r="D80" s="20">
        <v>0</v>
      </c>
      <c r="E80" s="20">
        <v>0</v>
      </c>
      <c r="F80" s="20">
        <v>0</v>
      </c>
      <c r="G80" s="15">
        <v>0</v>
      </c>
      <c r="H80" s="77">
        <v>0</v>
      </c>
      <c r="I80" s="77">
        <v>0</v>
      </c>
      <c r="J80" s="77">
        <f>'2 lentelė'!L76</f>
        <v>1229574.68</v>
      </c>
      <c r="K80" s="77">
        <f>'2 lentelė'!Q76</f>
        <v>823834.4</v>
      </c>
      <c r="L80" s="15">
        <v>0</v>
      </c>
      <c r="M80" s="15">
        <v>0</v>
      </c>
      <c r="N80" s="15">
        <v>0</v>
      </c>
      <c r="O80" s="15">
        <v>0</v>
      </c>
      <c r="P80" s="15">
        <v>0</v>
      </c>
      <c r="Q80" s="15">
        <v>0</v>
      </c>
      <c r="R80" s="15">
        <f t="shared" si="31"/>
        <v>1229574.68</v>
      </c>
      <c r="S80" s="15">
        <f t="shared" si="31"/>
        <v>823834.4</v>
      </c>
    </row>
    <row r="81" spans="2:19" s="7" customFormat="1" ht="45" hidden="1" customHeight="1" x14ac:dyDescent="0.25">
      <c r="B81" s="31" t="s">
        <v>272</v>
      </c>
      <c r="C81" s="32" t="s">
        <v>273</v>
      </c>
      <c r="D81" s="20">
        <v>0</v>
      </c>
      <c r="E81" s="20">
        <v>0</v>
      </c>
      <c r="F81" s="20">
        <v>0</v>
      </c>
      <c r="G81" s="15">
        <v>0</v>
      </c>
      <c r="H81" s="15">
        <f>'2 lentelė'!L77</f>
        <v>3765060</v>
      </c>
      <c r="I81" s="15">
        <f>'2 lentelė'!Q77</f>
        <v>1717232.99</v>
      </c>
      <c r="J81" s="15">
        <v>0</v>
      </c>
      <c r="K81" s="15">
        <v>0</v>
      </c>
      <c r="L81" s="15">
        <v>0</v>
      </c>
      <c r="M81" s="15">
        <v>0</v>
      </c>
      <c r="N81" s="15">
        <v>0</v>
      </c>
      <c r="O81" s="15">
        <v>0</v>
      </c>
      <c r="P81" s="15">
        <v>0</v>
      </c>
      <c r="Q81" s="15">
        <v>0</v>
      </c>
      <c r="R81" s="15">
        <f t="shared" si="31"/>
        <v>3765060</v>
      </c>
      <c r="S81" s="15">
        <f t="shared" si="31"/>
        <v>1717232.99</v>
      </c>
    </row>
    <row r="82" spans="2:19" s="7" customFormat="1" ht="69" hidden="1" customHeight="1" x14ac:dyDescent="0.25">
      <c r="B82" s="31" t="s">
        <v>274</v>
      </c>
      <c r="C82" s="32" t="s">
        <v>275</v>
      </c>
      <c r="D82" s="20">
        <v>0</v>
      </c>
      <c r="E82" s="20">
        <v>0</v>
      </c>
      <c r="F82" s="20">
        <v>0</v>
      </c>
      <c r="G82" s="15">
        <v>0</v>
      </c>
      <c r="H82" s="15">
        <f>'2 lentelė'!L78</f>
        <v>1695696</v>
      </c>
      <c r="I82" s="15">
        <f>'2 lentelė'!Q78</f>
        <v>1110408</v>
      </c>
      <c r="J82" s="15">
        <v>0</v>
      </c>
      <c r="K82" s="15">
        <v>0</v>
      </c>
      <c r="L82" s="15">
        <v>0</v>
      </c>
      <c r="M82" s="15">
        <v>0</v>
      </c>
      <c r="N82" s="15">
        <v>0</v>
      </c>
      <c r="O82" s="15">
        <v>0</v>
      </c>
      <c r="P82" s="15">
        <v>0</v>
      </c>
      <c r="Q82" s="15">
        <v>0</v>
      </c>
      <c r="R82" s="15">
        <f t="shared" si="31"/>
        <v>1695696</v>
      </c>
      <c r="S82" s="15">
        <f t="shared" si="31"/>
        <v>1110408</v>
      </c>
    </row>
    <row r="83" spans="2:19" s="7" customFormat="1" ht="63.75" hidden="1" x14ac:dyDescent="0.25">
      <c r="B83" s="31" t="s">
        <v>276</v>
      </c>
      <c r="C83" s="32" t="s">
        <v>277</v>
      </c>
      <c r="D83" s="20">
        <v>0</v>
      </c>
      <c r="E83" s="20">
        <v>0</v>
      </c>
      <c r="F83" s="20">
        <v>0</v>
      </c>
      <c r="G83" s="15">
        <v>0</v>
      </c>
      <c r="H83" s="15">
        <f>'2 lentelė'!L79</f>
        <v>1959518</v>
      </c>
      <c r="I83" s="15">
        <f>'2 lentelė'!Q79</f>
        <v>1066332.24</v>
      </c>
      <c r="J83" s="15">
        <v>0</v>
      </c>
      <c r="K83" s="15">
        <v>0</v>
      </c>
      <c r="L83" s="15">
        <v>0</v>
      </c>
      <c r="M83" s="15">
        <v>0</v>
      </c>
      <c r="N83" s="15">
        <v>0</v>
      </c>
      <c r="O83" s="15">
        <v>0</v>
      </c>
      <c r="P83" s="15">
        <v>0</v>
      </c>
      <c r="Q83" s="15">
        <v>0</v>
      </c>
      <c r="R83" s="15">
        <f t="shared" si="31"/>
        <v>1959518</v>
      </c>
      <c r="S83" s="15">
        <f t="shared" si="31"/>
        <v>1066332.24</v>
      </c>
    </row>
    <row r="84" spans="2:19" s="7" customFormat="1" ht="69" hidden="1" customHeight="1" x14ac:dyDescent="0.25">
      <c r="B84" s="31" t="s">
        <v>278</v>
      </c>
      <c r="C84" s="68" t="s">
        <v>980</v>
      </c>
      <c r="D84" s="78">
        <v>0</v>
      </c>
      <c r="E84" s="78">
        <v>0</v>
      </c>
      <c r="F84" s="78">
        <v>0</v>
      </c>
      <c r="G84" s="77">
        <v>0</v>
      </c>
      <c r="H84" s="77">
        <f>'2 lentelė'!L80</f>
        <v>2011598.52</v>
      </c>
      <c r="I84" s="80">
        <f>'2 lentelė'!Q80</f>
        <v>1609278.82</v>
      </c>
      <c r="J84" s="77">
        <v>0</v>
      </c>
      <c r="K84" s="77">
        <v>0</v>
      </c>
      <c r="L84" s="15">
        <v>0</v>
      </c>
      <c r="M84" s="15">
        <v>0</v>
      </c>
      <c r="N84" s="15">
        <v>0</v>
      </c>
      <c r="O84" s="15">
        <v>0</v>
      </c>
      <c r="P84" s="15">
        <v>0</v>
      </c>
      <c r="Q84" s="15">
        <v>0</v>
      </c>
      <c r="R84" s="15">
        <f t="shared" si="31"/>
        <v>2011598.52</v>
      </c>
      <c r="S84" s="15">
        <f t="shared" si="31"/>
        <v>1609278.82</v>
      </c>
    </row>
    <row r="85" spans="2:19" s="7" customFormat="1" ht="75.75" hidden="1" customHeight="1" x14ac:dyDescent="0.25">
      <c r="B85" s="68" t="s">
        <v>981</v>
      </c>
      <c r="C85" s="59" t="s">
        <v>983</v>
      </c>
      <c r="D85" s="78">
        <v>0</v>
      </c>
      <c r="E85" s="78">
        <v>0</v>
      </c>
      <c r="F85" s="78">
        <v>0</v>
      </c>
      <c r="G85" s="78">
        <v>0</v>
      </c>
      <c r="H85" s="78">
        <v>0</v>
      </c>
      <c r="I85" s="78">
        <v>0</v>
      </c>
      <c r="J85" s="78">
        <v>0</v>
      </c>
      <c r="K85" s="78">
        <v>0</v>
      </c>
      <c r="L85" s="20">
        <v>0</v>
      </c>
      <c r="M85" s="20">
        <v>0</v>
      </c>
      <c r="N85" s="32">
        <v>338000</v>
      </c>
      <c r="O85" s="15">
        <v>169000</v>
      </c>
      <c r="P85" s="20">
        <v>0</v>
      </c>
      <c r="Q85" s="20">
        <v>0</v>
      </c>
      <c r="R85" s="15">
        <f t="shared" ref="R85:R87" si="32">D85+F85+H85+J85+L85+N85+P85</f>
        <v>338000</v>
      </c>
      <c r="S85" s="15">
        <f t="shared" ref="S85:S87" si="33">E85+G85+I85+K85+M85+O85+Q85</f>
        <v>169000</v>
      </c>
    </row>
    <row r="86" spans="2:19" s="7" customFormat="1" ht="69" hidden="1" customHeight="1" x14ac:dyDescent="0.25">
      <c r="B86" s="68" t="s">
        <v>985</v>
      </c>
      <c r="C86" s="59" t="s">
        <v>987</v>
      </c>
      <c r="D86" s="78">
        <v>0</v>
      </c>
      <c r="E86" s="78">
        <v>0</v>
      </c>
      <c r="F86" s="78">
        <v>0</v>
      </c>
      <c r="G86" s="78">
        <v>0</v>
      </c>
      <c r="H86" s="78">
        <v>0</v>
      </c>
      <c r="I86" s="78">
        <v>0</v>
      </c>
      <c r="J86" s="78">
        <v>0</v>
      </c>
      <c r="K86" s="78">
        <v>0</v>
      </c>
      <c r="L86" s="20">
        <v>0</v>
      </c>
      <c r="M86" s="20">
        <v>0</v>
      </c>
      <c r="N86" s="32">
        <v>718750</v>
      </c>
      <c r="O86" s="15">
        <v>575000</v>
      </c>
      <c r="P86" s="20">
        <v>0</v>
      </c>
      <c r="Q86" s="20">
        <v>0</v>
      </c>
      <c r="R86" s="15">
        <f t="shared" si="32"/>
        <v>718750</v>
      </c>
      <c r="S86" s="15">
        <f t="shared" si="33"/>
        <v>575000</v>
      </c>
    </row>
    <row r="87" spans="2:19" s="7" customFormat="1" ht="78" hidden="1" customHeight="1" x14ac:dyDescent="0.25">
      <c r="B87" s="68" t="s">
        <v>988</v>
      </c>
      <c r="C87" s="59" t="s">
        <v>990</v>
      </c>
      <c r="D87" s="78">
        <v>0</v>
      </c>
      <c r="E87" s="78">
        <v>0</v>
      </c>
      <c r="F87" s="78">
        <v>0</v>
      </c>
      <c r="G87" s="78">
        <v>0</v>
      </c>
      <c r="H87" s="78">
        <v>0</v>
      </c>
      <c r="I87" s="78">
        <v>0</v>
      </c>
      <c r="J87" s="78">
        <v>0</v>
      </c>
      <c r="K87" s="78">
        <v>0</v>
      </c>
      <c r="L87" s="20">
        <v>0</v>
      </c>
      <c r="M87" s="20">
        <v>0</v>
      </c>
      <c r="N87" s="107">
        <v>1430069.8</v>
      </c>
      <c r="O87" s="15">
        <v>462636</v>
      </c>
      <c r="P87" s="20">
        <v>0</v>
      </c>
      <c r="Q87" s="20">
        <v>0</v>
      </c>
      <c r="R87" s="15">
        <f t="shared" si="32"/>
        <v>1430069.8</v>
      </c>
      <c r="S87" s="15">
        <f t="shared" si="33"/>
        <v>462636</v>
      </c>
    </row>
    <row r="88" spans="2:19" s="7" customFormat="1" ht="78" hidden="1" customHeight="1" x14ac:dyDescent="0.25">
      <c r="B88" s="68" t="s">
        <v>992</v>
      </c>
      <c r="C88" s="59" t="s">
        <v>991</v>
      </c>
      <c r="D88" s="78">
        <v>0</v>
      </c>
      <c r="E88" s="78">
        <v>0</v>
      </c>
      <c r="F88" s="78">
        <v>0</v>
      </c>
      <c r="G88" s="78">
        <v>0</v>
      </c>
      <c r="H88" s="78">
        <v>0</v>
      </c>
      <c r="I88" s="78">
        <v>0</v>
      </c>
      <c r="J88" s="78">
        <v>0</v>
      </c>
      <c r="K88" s="78">
        <v>0</v>
      </c>
      <c r="L88" s="20">
        <v>0</v>
      </c>
      <c r="M88" s="20">
        <v>0</v>
      </c>
      <c r="N88" s="107">
        <v>750000</v>
      </c>
      <c r="O88" s="15">
        <v>375000</v>
      </c>
      <c r="P88" s="20">
        <v>0</v>
      </c>
      <c r="Q88" s="20">
        <v>0</v>
      </c>
      <c r="R88" s="15">
        <f t="shared" ref="R88" si="34">D88+F88+H88+J88+L88+N88+P88</f>
        <v>750000</v>
      </c>
      <c r="S88" s="15">
        <f t="shared" ref="S88" si="35">E88+G88+I88+K88+M88+O88+Q88</f>
        <v>375000</v>
      </c>
    </row>
    <row r="89" spans="2:19" s="7" customFormat="1" ht="38.25" hidden="1" x14ac:dyDescent="0.25">
      <c r="B89" s="30" t="s">
        <v>279</v>
      </c>
      <c r="C89" s="30" t="s">
        <v>280</v>
      </c>
      <c r="D89" s="30">
        <v>0</v>
      </c>
      <c r="E89" s="30">
        <v>0</v>
      </c>
      <c r="F89" s="30">
        <v>0</v>
      </c>
      <c r="G89" s="30">
        <v>0</v>
      </c>
      <c r="H89" s="30">
        <f t="shared" ref="H89:Q89" si="36">SUM(H90:H91)</f>
        <v>0</v>
      </c>
      <c r="I89" s="30">
        <f t="shared" si="36"/>
        <v>0</v>
      </c>
      <c r="J89" s="30">
        <f>SUM(J90:J91)</f>
        <v>2053643.87</v>
      </c>
      <c r="K89" s="30">
        <f t="shared" si="36"/>
        <v>1745596.94</v>
      </c>
      <c r="L89" s="30">
        <f t="shared" si="36"/>
        <v>0</v>
      </c>
      <c r="M89" s="30">
        <f t="shared" si="36"/>
        <v>0</v>
      </c>
      <c r="N89" s="30">
        <f t="shared" si="36"/>
        <v>0</v>
      </c>
      <c r="O89" s="30">
        <f t="shared" si="36"/>
        <v>0</v>
      </c>
      <c r="P89" s="30">
        <f t="shared" si="36"/>
        <v>0</v>
      </c>
      <c r="Q89" s="30">
        <f t="shared" si="36"/>
        <v>0</v>
      </c>
      <c r="R89" s="30">
        <f>SUM(R90:R91)</f>
        <v>2053643.87</v>
      </c>
      <c r="S89" s="30">
        <f>S90+S91</f>
        <v>1745596.94</v>
      </c>
    </row>
    <row r="90" spans="2:19" s="7" customFormat="1" ht="76.5" hidden="1" x14ac:dyDescent="0.25">
      <c r="B90" s="31" t="s">
        <v>281</v>
      </c>
      <c r="C90" s="32" t="s">
        <v>282</v>
      </c>
      <c r="D90" s="20">
        <v>0</v>
      </c>
      <c r="E90" s="20">
        <v>0</v>
      </c>
      <c r="F90" s="20">
        <v>0</v>
      </c>
      <c r="G90" s="15">
        <v>0</v>
      </c>
      <c r="H90" s="15">
        <v>0</v>
      </c>
      <c r="I90" s="15">
        <v>0</v>
      </c>
      <c r="J90" s="15">
        <f>'2 lentelė'!L86</f>
        <v>1018412.87</v>
      </c>
      <c r="K90" s="15">
        <f>'2 lentelė'!Q86</f>
        <v>865650.94</v>
      </c>
      <c r="L90" s="15">
        <v>0</v>
      </c>
      <c r="M90" s="15">
        <v>0</v>
      </c>
      <c r="N90" s="15">
        <v>0</v>
      </c>
      <c r="O90" s="15">
        <v>0</v>
      </c>
      <c r="P90" s="15">
        <v>0</v>
      </c>
      <c r="Q90" s="15">
        <v>0</v>
      </c>
      <c r="R90" s="15">
        <f>D90+F90+H90+J90+L90+N90+P90</f>
        <v>1018412.87</v>
      </c>
      <c r="S90" s="15">
        <f>E90+G90+I90+K90+M90+O90+Q90</f>
        <v>865650.94</v>
      </c>
    </row>
    <row r="91" spans="2:19" s="7" customFormat="1" ht="76.5" hidden="1" x14ac:dyDescent="0.25">
      <c r="B91" s="31" t="s">
        <v>283</v>
      </c>
      <c r="C91" s="32" t="s">
        <v>284</v>
      </c>
      <c r="D91" s="20">
        <v>0</v>
      </c>
      <c r="E91" s="20">
        <v>0</v>
      </c>
      <c r="F91" s="20">
        <v>0</v>
      </c>
      <c r="G91" s="15">
        <v>0</v>
      </c>
      <c r="H91" s="15">
        <v>0</v>
      </c>
      <c r="I91" s="15">
        <v>0</v>
      </c>
      <c r="J91" s="15">
        <f>'2 lentelė'!L87</f>
        <v>1035231</v>
      </c>
      <c r="K91" s="15">
        <f>'2 lentelė'!Q87</f>
        <v>879946</v>
      </c>
      <c r="L91" s="15">
        <v>0</v>
      </c>
      <c r="M91" s="15">
        <v>0</v>
      </c>
      <c r="N91" s="15">
        <v>0</v>
      </c>
      <c r="O91" s="15">
        <v>0</v>
      </c>
      <c r="P91" s="15">
        <v>0</v>
      </c>
      <c r="Q91" s="15">
        <v>0</v>
      </c>
      <c r="R91" s="15">
        <f>D91+F91+H91+J91+L91+N91+P91</f>
        <v>1035231</v>
      </c>
      <c r="S91" s="15">
        <f>E91+G91+I91+K91+M91+O91+Q91</f>
        <v>879946</v>
      </c>
    </row>
    <row r="92" spans="2:19" s="7" customFormat="1" ht="38.25" hidden="1" x14ac:dyDescent="0.25">
      <c r="B92" s="30" t="s">
        <v>285</v>
      </c>
      <c r="C92" s="30" t="s">
        <v>286</v>
      </c>
      <c r="D92" s="30">
        <v>0</v>
      </c>
      <c r="E92" s="30">
        <v>0</v>
      </c>
      <c r="F92" s="30">
        <v>0</v>
      </c>
      <c r="G92" s="30">
        <v>0</v>
      </c>
      <c r="H92" s="30">
        <f t="shared" ref="H92:S92" si="37">SUM(H93:H98)</f>
        <v>0</v>
      </c>
      <c r="I92" s="30">
        <f t="shared" si="37"/>
        <v>0</v>
      </c>
      <c r="J92" s="30">
        <f t="shared" si="37"/>
        <v>3414713.49</v>
      </c>
      <c r="K92" s="30">
        <f t="shared" si="37"/>
        <v>2832116.82</v>
      </c>
      <c r="L92" s="30">
        <f t="shared" si="37"/>
        <v>0</v>
      </c>
      <c r="M92" s="30">
        <f t="shared" si="37"/>
        <v>0</v>
      </c>
      <c r="N92" s="30">
        <f t="shared" si="37"/>
        <v>0</v>
      </c>
      <c r="O92" s="30">
        <f t="shared" si="37"/>
        <v>0</v>
      </c>
      <c r="P92" s="30">
        <f t="shared" si="37"/>
        <v>0</v>
      </c>
      <c r="Q92" s="30">
        <f t="shared" si="37"/>
        <v>0</v>
      </c>
      <c r="R92" s="30">
        <f>SUM(R93:R98)</f>
        <v>3414713.49</v>
      </c>
      <c r="S92" s="30">
        <f t="shared" si="37"/>
        <v>2832116.82</v>
      </c>
    </row>
    <row r="93" spans="2:19" s="7" customFormat="1" ht="51" hidden="1" x14ac:dyDescent="0.25">
      <c r="B93" s="31" t="s">
        <v>287</v>
      </c>
      <c r="C93" s="32" t="s">
        <v>288</v>
      </c>
      <c r="D93" s="20">
        <v>0</v>
      </c>
      <c r="E93" s="20">
        <v>0</v>
      </c>
      <c r="F93" s="20">
        <v>0</v>
      </c>
      <c r="G93" s="15">
        <v>0</v>
      </c>
      <c r="H93" s="15">
        <v>0</v>
      </c>
      <c r="I93" s="15">
        <v>0</v>
      </c>
      <c r="J93" s="15">
        <f>'2 lentelė'!L89</f>
        <v>670569.16</v>
      </c>
      <c r="K93" s="15">
        <f>'2 lentelė'!Q89</f>
        <v>504770</v>
      </c>
      <c r="L93" s="15">
        <v>0</v>
      </c>
      <c r="M93" s="15">
        <v>0</v>
      </c>
      <c r="N93" s="15">
        <v>0</v>
      </c>
      <c r="O93" s="15">
        <v>0</v>
      </c>
      <c r="P93" s="15">
        <v>0</v>
      </c>
      <c r="Q93" s="15">
        <v>0</v>
      </c>
      <c r="R93" s="15">
        <f t="shared" ref="R93:S98" si="38">D93+F93+H93+J93+L93+N93+P93</f>
        <v>670569.16</v>
      </c>
      <c r="S93" s="15">
        <f t="shared" si="38"/>
        <v>504770</v>
      </c>
    </row>
    <row r="94" spans="2:19" s="7" customFormat="1" ht="102" hidden="1" x14ac:dyDescent="0.25">
      <c r="B94" s="31" t="s">
        <v>289</v>
      </c>
      <c r="C94" s="32" t="s">
        <v>290</v>
      </c>
      <c r="D94" s="20">
        <v>0</v>
      </c>
      <c r="E94" s="20">
        <v>0</v>
      </c>
      <c r="F94" s="20">
        <v>0</v>
      </c>
      <c r="G94" s="15">
        <v>0</v>
      </c>
      <c r="H94" s="15">
        <v>0</v>
      </c>
      <c r="I94" s="15">
        <v>0</v>
      </c>
      <c r="J94" s="15">
        <f>'2 lentelė'!L90</f>
        <v>400317.65</v>
      </c>
      <c r="K94" s="15">
        <f>'2 lentelė'!Q90</f>
        <v>340270</v>
      </c>
      <c r="L94" s="15">
        <v>0</v>
      </c>
      <c r="M94" s="15">
        <v>0</v>
      </c>
      <c r="N94" s="15">
        <v>0</v>
      </c>
      <c r="O94" s="15">
        <v>0</v>
      </c>
      <c r="P94" s="15">
        <v>0</v>
      </c>
      <c r="Q94" s="15">
        <v>0</v>
      </c>
      <c r="R94" s="15">
        <f t="shared" si="38"/>
        <v>400317.65</v>
      </c>
      <c r="S94" s="15">
        <f t="shared" si="38"/>
        <v>340270</v>
      </c>
    </row>
    <row r="95" spans="2:19" s="7" customFormat="1" ht="63.75" hidden="1" x14ac:dyDescent="0.25">
      <c r="B95" s="31" t="s">
        <v>291</v>
      </c>
      <c r="C95" s="32" t="s">
        <v>292</v>
      </c>
      <c r="D95" s="20">
        <v>0</v>
      </c>
      <c r="E95" s="20">
        <v>0</v>
      </c>
      <c r="F95" s="20">
        <v>0</v>
      </c>
      <c r="G95" s="15">
        <v>0</v>
      </c>
      <c r="H95" s="15">
        <v>0</v>
      </c>
      <c r="I95" s="15">
        <v>0</v>
      </c>
      <c r="J95" s="15">
        <f>'2 lentelė'!L91</f>
        <v>610906</v>
      </c>
      <c r="K95" s="15">
        <f>'2 lentelė'!Q91</f>
        <v>519270</v>
      </c>
      <c r="L95" s="15">
        <v>0</v>
      </c>
      <c r="M95" s="15">
        <v>0</v>
      </c>
      <c r="N95" s="15">
        <v>0</v>
      </c>
      <c r="O95" s="15">
        <v>0</v>
      </c>
      <c r="P95" s="15">
        <v>0</v>
      </c>
      <c r="Q95" s="15">
        <v>0</v>
      </c>
      <c r="R95" s="15">
        <f t="shared" si="38"/>
        <v>610906</v>
      </c>
      <c r="S95" s="15">
        <f t="shared" si="38"/>
        <v>519270</v>
      </c>
    </row>
    <row r="96" spans="2:19" s="7" customFormat="1" ht="51" hidden="1" x14ac:dyDescent="0.25">
      <c r="B96" s="31" t="s">
        <v>293</v>
      </c>
      <c r="C96" s="32" t="s">
        <v>294</v>
      </c>
      <c r="D96" s="20">
        <v>0</v>
      </c>
      <c r="E96" s="20">
        <v>0</v>
      </c>
      <c r="F96" s="20">
        <v>0</v>
      </c>
      <c r="G96" s="15">
        <v>0</v>
      </c>
      <c r="H96" s="15">
        <v>0</v>
      </c>
      <c r="I96" s="15">
        <v>0</v>
      </c>
      <c r="J96" s="15">
        <f>'2 lentelė'!L92</f>
        <v>546406</v>
      </c>
      <c r="K96" s="15">
        <f>'2 lentelė'!Q92</f>
        <v>459270</v>
      </c>
      <c r="L96" s="15">
        <v>0</v>
      </c>
      <c r="M96" s="15">
        <v>0</v>
      </c>
      <c r="N96" s="15">
        <v>0</v>
      </c>
      <c r="O96" s="15">
        <v>0</v>
      </c>
      <c r="P96" s="15">
        <v>0</v>
      </c>
      <c r="Q96" s="15">
        <v>0</v>
      </c>
      <c r="R96" s="15">
        <f>D96+F96+H96+J96+L96+N96+P96</f>
        <v>546406</v>
      </c>
      <c r="S96" s="15">
        <f t="shared" si="38"/>
        <v>459270</v>
      </c>
    </row>
    <row r="97" spans="2:21" s="7" customFormat="1" ht="51" hidden="1" x14ac:dyDescent="0.25">
      <c r="B97" s="31" t="s">
        <v>295</v>
      </c>
      <c r="C97" s="32" t="s">
        <v>296</v>
      </c>
      <c r="D97" s="20">
        <v>0</v>
      </c>
      <c r="E97" s="20">
        <v>0</v>
      </c>
      <c r="F97" s="20">
        <v>0</v>
      </c>
      <c r="G97" s="15">
        <v>0</v>
      </c>
      <c r="H97" s="15">
        <v>0</v>
      </c>
      <c r="I97" s="15">
        <v>0</v>
      </c>
      <c r="J97" s="15">
        <f>'2 lentelė'!L93</f>
        <v>569725.67999999993</v>
      </c>
      <c r="K97" s="15">
        <f>'2 lentelė'!Q93</f>
        <v>484266.82</v>
      </c>
      <c r="L97" s="15">
        <v>0</v>
      </c>
      <c r="M97" s="15">
        <v>0</v>
      </c>
      <c r="N97" s="15">
        <v>0</v>
      </c>
      <c r="O97" s="15">
        <v>0</v>
      </c>
      <c r="P97" s="15">
        <v>0</v>
      </c>
      <c r="Q97" s="15">
        <v>0</v>
      </c>
      <c r="R97" s="15">
        <f t="shared" si="38"/>
        <v>569725.67999999993</v>
      </c>
      <c r="S97" s="15">
        <f t="shared" si="38"/>
        <v>484266.82</v>
      </c>
    </row>
    <row r="98" spans="2:21" s="7" customFormat="1" ht="51" hidden="1" x14ac:dyDescent="0.25">
      <c r="B98" s="31" t="s">
        <v>297</v>
      </c>
      <c r="C98" s="32" t="s">
        <v>298</v>
      </c>
      <c r="D98" s="20">
        <v>0</v>
      </c>
      <c r="E98" s="20">
        <v>0</v>
      </c>
      <c r="F98" s="20">
        <v>0</v>
      </c>
      <c r="G98" s="15">
        <v>0</v>
      </c>
      <c r="H98" s="15">
        <v>0</v>
      </c>
      <c r="I98" s="15">
        <v>0</v>
      </c>
      <c r="J98" s="15">
        <f>'2 lentelė'!L94</f>
        <v>616789</v>
      </c>
      <c r="K98" s="15">
        <f>'2 lentelė'!Q94</f>
        <v>524270</v>
      </c>
      <c r="L98" s="15">
        <v>0</v>
      </c>
      <c r="M98" s="15">
        <v>0</v>
      </c>
      <c r="N98" s="15">
        <v>0</v>
      </c>
      <c r="O98" s="15">
        <v>0</v>
      </c>
      <c r="P98" s="15">
        <v>0</v>
      </c>
      <c r="Q98" s="15">
        <v>0</v>
      </c>
      <c r="R98" s="15">
        <f t="shared" si="38"/>
        <v>616789</v>
      </c>
      <c r="S98" s="15">
        <f t="shared" si="38"/>
        <v>524270</v>
      </c>
    </row>
    <row r="99" spans="2:21" s="7" customFormat="1" ht="51" hidden="1" x14ac:dyDescent="0.25">
      <c r="B99" s="13" t="s">
        <v>300</v>
      </c>
      <c r="C99" s="28" t="s">
        <v>301</v>
      </c>
      <c r="D99" s="28">
        <v>0</v>
      </c>
      <c r="E99" s="28">
        <v>0</v>
      </c>
      <c r="F99" s="28">
        <v>0</v>
      </c>
      <c r="G99" s="28">
        <v>0</v>
      </c>
      <c r="H99" s="28">
        <f>SUM(H100)</f>
        <v>238835.47</v>
      </c>
      <c r="I99" s="28">
        <f t="shared" ref="I99:S99" si="39">SUM(I100)</f>
        <v>203010.14</v>
      </c>
      <c r="J99" s="28">
        <f>SUM(J100)</f>
        <v>1618671.6099999999</v>
      </c>
      <c r="K99" s="28">
        <f>SUM(K100)</f>
        <v>1375870.84</v>
      </c>
      <c r="L99" s="28">
        <f t="shared" si="39"/>
        <v>474390.27</v>
      </c>
      <c r="M99" s="28">
        <f t="shared" si="39"/>
        <v>366390.06</v>
      </c>
      <c r="N99" s="28">
        <f t="shared" si="39"/>
        <v>1199024.7200000002</v>
      </c>
      <c r="O99" s="28">
        <f t="shared" si="39"/>
        <v>1019171</v>
      </c>
      <c r="P99" s="28">
        <f t="shared" si="39"/>
        <v>0</v>
      </c>
      <c r="Q99" s="28">
        <f t="shared" si="39"/>
        <v>0</v>
      </c>
      <c r="R99" s="28">
        <f t="shared" si="39"/>
        <v>3530922.0700000003</v>
      </c>
      <c r="S99" s="28">
        <f t="shared" si="39"/>
        <v>2964442.04</v>
      </c>
      <c r="T99" s="40"/>
      <c r="U99" s="40"/>
    </row>
    <row r="100" spans="2:21" s="7" customFormat="1" ht="25.5" x14ac:dyDescent="0.25">
      <c r="B100" s="30" t="s">
        <v>302</v>
      </c>
      <c r="C100" s="30" t="s">
        <v>303</v>
      </c>
      <c r="D100" s="30">
        <v>0</v>
      </c>
      <c r="E100" s="30">
        <v>0</v>
      </c>
      <c r="F100" s="30">
        <v>0</v>
      </c>
      <c r="G100" s="30">
        <v>0</v>
      </c>
      <c r="H100" s="79">
        <f>SUM(H102:H105)</f>
        <v>238835.47</v>
      </c>
      <c r="I100" s="79">
        <f>SUM(I102:I105)</f>
        <v>203010.14</v>
      </c>
      <c r="J100" s="79">
        <f t="shared" ref="J100:S100" si="40">SUM(J101:J108)+SUM(J109:J110)</f>
        <v>1618671.6099999999</v>
      </c>
      <c r="K100" s="79">
        <f t="shared" si="40"/>
        <v>1375870.84</v>
      </c>
      <c r="L100" s="30">
        <f t="shared" si="40"/>
        <v>474390.27</v>
      </c>
      <c r="M100" s="30">
        <f t="shared" si="40"/>
        <v>366390.06</v>
      </c>
      <c r="N100" s="30">
        <f t="shared" si="40"/>
        <v>1199024.7200000002</v>
      </c>
      <c r="O100" s="30">
        <f t="shared" si="40"/>
        <v>1019171</v>
      </c>
      <c r="P100" s="30">
        <f t="shared" si="40"/>
        <v>0</v>
      </c>
      <c r="Q100" s="30">
        <f t="shared" si="40"/>
        <v>0</v>
      </c>
      <c r="R100" s="30">
        <f t="shared" si="40"/>
        <v>3530922.0700000003</v>
      </c>
      <c r="S100" s="30">
        <f t="shared" si="40"/>
        <v>2964442.04</v>
      </c>
      <c r="T100" s="40"/>
      <c r="U100" s="40"/>
    </row>
    <row r="101" spans="2:21" s="112" customFormat="1" ht="38.25" hidden="1" x14ac:dyDescent="0.25">
      <c r="B101" s="31" t="s">
        <v>304</v>
      </c>
      <c r="C101" s="32" t="s">
        <v>305</v>
      </c>
      <c r="D101" s="32">
        <v>0</v>
      </c>
      <c r="E101" s="32">
        <v>0</v>
      </c>
      <c r="F101" s="32">
        <v>0</v>
      </c>
      <c r="G101" s="31">
        <v>0</v>
      </c>
      <c r="H101" s="113">
        <v>0</v>
      </c>
      <c r="I101" s="113">
        <v>0</v>
      </c>
      <c r="J101" s="113">
        <v>0</v>
      </c>
      <c r="K101" s="113">
        <v>0</v>
      </c>
      <c r="L101" s="31">
        <v>0</v>
      </c>
      <c r="M101" s="31">
        <v>0</v>
      </c>
      <c r="N101" s="31">
        <f>'2 lentelė'!L96</f>
        <v>77618.78</v>
      </c>
      <c r="O101" s="31">
        <f>'2 lentelė'!Q96</f>
        <v>65975.960000000006</v>
      </c>
      <c r="P101" s="31">
        <v>0</v>
      </c>
      <c r="Q101" s="31">
        <v>0</v>
      </c>
      <c r="R101" s="31">
        <f>D101+F101+H101+J101+L101+N101+P101</f>
        <v>77618.78</v>
      </c>
      <c r="S101" s="31">
        <f>E101+G101+I101+K101+M101+O101+Q101</f>
        <v>65975.960000000006</v>
      </c>
      <c r="T101" s="114"/>
      <c r="U101" s="114"/>
    </row>
    <row r="102" spans="2:21" s="7" customFormat="1" ht="63.75" hidden="1" x14ac:dyDescent="0.25">
      <c r="B102" s="31" t="s">
        <v>306</v>
      </c>
      <c r="C102" s="32" t="s">
        <v>307</v>
      </c>
      <c r="D102" s="20">
        <v>0</v>
      </c>
      <c r="E102" s="20">
        <v>0</v>
      </c>
      <c r="F102" s="20">
        <v>0</v>
      </c>
      <c r="G102" s="15">
        <v>0</v>
      </c>
      <c r="H102" s="77">
        <v>0</v>
      </c>
      <c r="I102" s="77">
        <v>0</v>
      </c>
      <c r="J102" s="77">
        <f>'2 lentelė'!L97</f>
        <v>383205.9</v>
      </c>
      <c r="K102" s="77">
        <f>'2 lentelė'!Q97</f>
        <v>325725</v>
      </c>
      <c r="L102" s="15">
        <v>0</v>
      </c>
      <c r="M102" s="15">
        <v>0</v>
      </c>
      <c r="N102" s="15">
        <v>0</v>
      </c>
      <c r="O102" s="15">
        <v>0</v>
      </c>
      <c r="P102" s="15">
        <v>0</v>
      </c>
      <c r="Q102" s="15">
        <v>0</v>
      </c>
      <c r="R102" s="15">
        <f t="shared" ref="R102:S110" si="41">D102+F102+H102+J102+L102+N102+P102</f>
        <v>383205.9</v>
      </c>
      <c r="S102" s="15">
        <f t="shared" si="41"/>
        <v>325725</v>
      </c>
      <c r="T102" s="40"/>
      <c r="U102" s="40"/>
    </row>
    <row r="103" spans="2:21" s="7" customFormat="1" ht="51" hidden="1" x14ac:dyDescent="0.25">
      <c r="B103" s="31" t="s">
        <v>308</v>
      </c>
      <c r="C103" s="32" t="s">
        <v>309</v>
      </c>
      <c r="D103" s="20">
        <v>0</v>
      </c>
      <c r="E103" s="20">
        <v>0</v>
      </c>
      <c r="F103" s="20">
        <v>0</v>
      </c>
      <c r="G103" s="15">
        <v>0</v>
      </c>
      <c r="H103" s="77">
        <v>0</v>
      </c>
      <c r="I103" s="77">
        <v>0</v>
      </c>
      <c r="J103" s="77">
        <f>'2 lentelė'!L98</f>
        <v>644100</v>
      </c>
      <c r="K103" s="77">
        <f>'2 lentelė'!Q98</f>
        <v>547485</v>
      </c>
      <c r="L103" s="15">
        <v>0</v>
      </c>
      <c r="M103" s="15">
        <v>0</v>
      </c>
      <c r="N103" s="15">
        <v>0</v>
      </c>
      <c r="O103" s="15">
        <v>0</v>
      </c>
      <c r="P103" s="15">
        <v>0</v>
      </c>
      <c r="Q103" s="15">
        <v>0</v>
      </c>
      <c r="R103" s="15">
        <f>D103+F103+H103+J103+L103+N103+P103</f>
        <v>644100</v>
      </c>
      <c r="S103" s="15">
        <f t="shared" si="41"/>
        <v>547485</v>
      </c>
      <c r="T103" s="40"/>
      <c r="U103" s="40"/>
    </row>
    <row r="104" spans="2:21" s="7" customFormat="1" ht="63.75" hidden="1" x14ac:dyDescent="0.25">
      <c r="B104" s="31" t="s">
        <v>310</v>
      </c>
      <c r="C104" s="32" t="s">
        <v>311</v>
      </c>
      <c r="D104" s="20">
        <v>0</v>
      </c>
      <c r="E104" s="20">
        <v>0</v>
      </c>
      <c r="F104" s="20">
        <v>0</v>
      </c>
      <c r="G104" s="15">
        <v>0</v>
      </c>
      <c r="H104" s="77">
        <v>0</v>
      </c>
      <c r="I104" s="77">
        <v>0</v>
      </c>
      <c r="J104" s="77">
        <f>'2 lentelė'!L99</f>
        <v>591365.71</v>
      </c>
      <c r="K104" s="77">
        <f>'2 lentelė'!Q99</f>
        <v>502660.84</v>
      </c>
      <c r="L104" s="15">
        <v>0</v>
      </c>
      <c r="M104" s="15">
        <v>0</v>
      </c>
      <c r="N104" s="15">
        <v>0</v>
      </c>
      <c r="O104" s="15">
        <v>0</v>
      </c>
      <c r="P104" s="15">
        <v>0</v>
      </c>
      <c r="Q104" s="15">
        <v>0</v>
      </c>
      <c r="R104" s="15">
        <f>D104+F104+H104+J104+L104+N104+P104</f>
        <v>591365.71</v>
      </c>
      <c r="S104" s="15">
        <f t="shared" si="41"/>
        <v>502660.84</v>
      </c>
      <c r="T104" s="40"/>
      <c r="U104" s="40"/>
    </row>
    <row r="105" spans="2:21" s="7" customFormat="1" ht="89.25" hidden="1" x14ac:dyDescent="0.25">
      <c r="B105" s="31" t="s">
        <v>312</v>
      </c>
      <c r="C105" s="32" t="s">
        <v>313</v>
      </c>
      <c r="D105" s="20">
        <v>0</v>
      </c>
      <c r="E105" s="20">
        <v>0</v>
      </c>
      <c r="F105" s="20">
        <v>0</v>
      </c>
      <c r="G105" s="15">
        <v>0</v>
      </c>
      <c r="H105" s="77">
        <f>'2 lentelė'!L100</f>
        <v>238835.47</v>
      </c>
      <c r="I105" s="77">
        <f>'2 lentelė'!Q100</f>
        <v>203010.14</v>
      </c>
      <c r="J105" s="77">
        <v>0</v>
      </c>
      <c r="K105" s="77">
        <v>0</v>
      </c>
      <c r="L105" s="15">
        <v>0</v>
      </c>
      <c r="M105" s="15">
        <v>0</v>
      </c>
      <c r="N105" s="15">
        <v>0</v>
      </c>
      <c r="O105" s="15">
        <v>0</v>
      </c>
      <c r="P105" s="15">
        <v>0</v>
      </c>
      <c r="Q105" s="15">
        <v>0</v>
      </c>
      <c r="R105" s="15">
        <f t="shared" si="41"/>
        <v>238835.47</v>
      </c>
      <c r="S105" s="15">
        <f t="shared" si="41"/>
        <v>203010.14</v>
      </c>
      <c r="T105" s="40"/>
      <c r="U105" s="40"/>
    </row>
    <row r="106" spans="2:21" s="7" customFormat="1" ht="63.75" hidden="1" x14ac:dyDescent="0.25">
      <c r="B106" s="31" t="s">
        <v>314</v>
      </c>
      <c r="C106" s="32" t="s">
        <v>315</v>
      </c>
      <c r="D106" s="20">
        <v>0</v>
      </c>
      <c r="E106" s="20">
        <v>0</v>
      </c>
      <c r="F106" s="20">
        <v>0</v>
      </c>
      <c r="G106" s="15">
        <v>0</v>
      </c>
      <c r="H106" s="77">
        <v>0</v>
      </c>
      <c r="I106" s="77">
        <v>0</v>
      </c>
      <c r="J106" s="77">
        <v>0</v>
      </c>
      <c r="K106" s="77">
        <v>0</v>
      </c>
      <c r="L106" s="15">
        <f>'2 lentelė'!L101</f>
        <v>180230</v>
      </c>
      <c r="M106" s="15">
        <f>'2 lentelė'!Q101</f>
        <v>153195.03</v>
      </c>
      <c r="N106" s="15">
        <v>0</v>
      </c>
      <c r="O106" s="15">
        <v>0</v>
      </c>
      <c r="P106" s="15">
        <v>0</v>
      </c>
      <c r="Q106" s="15">
        <v>0</v>
      </c>
      <c r="R106" s="15">
        <f>D106+F106+H106+J106+L106+N106+P106</f>
        <v>180230</v>
      </c>
      <c r="S106" s="15">
        <f t="shared" si="41"/>
        <v>153195.03</v>
      </c>
      <c r="T106" s="40"/>
      <c r="U106" s="40"/>
    </row>
    <row r="107" spans="2:21" s="7" customFormat="1" ht="89.25" hidden="1" customHeight="1" x14ac:dyDescent="0.25">
      <c r="B107" s="31" t="s">
        <v>316</v>
      </c>
      <c r="C107" s="32" t="s">
        <v>317</v>
      </c>
      <c r="D107" s="20">
        <v>0</v>
      </c>
      <c r="E107" s="20">
        <v>0</v>
      </c>
      <c r="F107" s="20">
        <v>0</v>
      </c>
      <c r="G107" s="15">
        <v>0</v>
      </c>
      <c r="H107" s="77">
        <v>0</v>
      </c>
      <c r="I107" s="77">
        <v>0</v>
      </c>
      <c r="J107" s="77">
        <v>0</v>
      </c>
      <c r="K107" s="77">
        <v>0</v>
      </c>
      <c r="L107" s="15">
        <v>0</v>
      </c>
      <c r="M107" s="15">
        <v>0</v>
      </c>
      <c r="N107" s="15">
        <f>'2 lentelė'!L102</f>
        <v>470588.24</v>
      </c>
      <c r="O107" s="15">
        <f>'2 lentelė'!Q102</f>
        <v>400000</v>
      </c>
      <c r="P107" s="15">
        <v>0</v>
      </c>
      <c r="Q107" s="15">
        <v>0</v>
      </c>
      <c r="R107" s="15">
        <f>D107+F107+H107+J107+L107+N107+P107</f>
        <v>470588.24</v>
      </c>
      <c r="S107" s="15">
        <f t="shared" si="41"/>
        <v>400000</v>
      </c>
      <c r="T107" s="40"/>
      <c r="U107" s="40"/>
    </row>
    <row r="108" spans="2:21" s="7" customFormat="1" ht="89.25" hidden="1" customHeight="1" x14ac:dyDescent="0.25">
      <c r="B108" s="31" t="s">
        <v>318</v>
      </c>
      <c r="C108" s="32" t="s">
        <v>319</v>
      </c>
      <c r="D108" s="20">
        <v>0</v>
      </c>
      <c r="E108" s="20">
        <v>0</v>
      </c>
      <c r="F108" s="20">
        <v>0</v>
      </c>
      <c r="G108" s="15">
        <v>0</v>
      </c>
      <c r="H108" s="77">
        <v>0</v>
      </c>
      <c r="I108" s="77">
        <v>0</v>
      </c>
      <c r="J108" s="77">
        <v>0</v>
      </c>
      <c r="K108" s="77">
        <v>0</v>
      </c>
      <c r="L108" s="15">
        <v>0</v>
      </c>
      <c r="M108" s="15">
        <v>0</v>
      </c>
      <c r="N108" s="15">
        <f>'2 lentelė'!L103</f>
        <v>62582.400000000001</v>
      </c>
      <c r="O108" s="15">
        <f>'2 lentelė'!Q103</f>
        <v>53195.040000000001</v>
      </c>
      <c r="P108" s="15">
        <v>0</v>
      </c>
      <c r="Q108" s="15">
        <v>0</v>
      </c>
      <c r="R108" s="15">
        <f>D108+F108+H108+J108+L108+N108+P108</f>
        <v>62582.400000000001</v>
      </c>
      <c r="S108" s="15">
        <f t="shared" si="41"/>
        <v>53195.040000000001</v>
      </c>
      <c r="T108" s="40"/>
      <c r="U108" s="40"/>
    </row>
    <row r="109" spans="2:21" s="7" customFormat="1" ht="61.5" hidden="1" customHeight="1" x14ac:dyDescent="0.25">
      <c r="B109" s="31" t="s">
        <v>320</v>
      </c>
      <c r="C109" s="32" t="s">
        <v>321</v>
      </c>
      <c r="D109" s="20">
        <v>0</v>
      </c>
      <c r="E109" s="20">
        <v>0</v>
      </c>
      <c r="F109" s="20">
        <v>0</v>
      </c>
      <c r="G109" s="15">
        <v>0</v>
      </c>
      <c r="H109" s="77">
        <v>0</v>
      </c>
      <c r="I109" s="77">
        <v>0</v>
      </c>
      <c r="J109" s="77">
        <v>0</v>
      </c>
      <c r="K109" s="77">
        <v>0</v>
      </c>
      <c r="L109" s="15">
        <f>'2 lentelė'!L104</f>
        <v>294160.27</v>
      </c>
      <c r="M109" s="15">
        <f>'2 lentelė'!Q104</f>
        <v>213195.03</v>
      </c>
      <c r="N109" s="15">
        <v>0</v>
      </c>
      <c r="O109" s="15">
        <v>0</v>
      </c>
      <c r="P109" s="15">
        <v>0</v>
      </c>
      <c r="Q109" s="15">
        <v>0</v>
      </c>
      <c r="R109" s="15">
        <f>D109+F109+H109+J109+L109+N109+P109</f>
        <v>294160.27</v>
      </c>
      <c r="S109" s="15">
        <f t="shared" si="41"/>
        <v>213195.03</v>
      </c>
      <c r="T109" s="40"/>
      <c r="U109" s="40"/>
    </row>
    <row r="110" spans="2:21" s="7" customFormat="1" ht="76.5" hidden="1" x14ac:dyDescent="0.25">
      <c r="B110" s="31" t="s">
        <v>322</v>
      </c>
      <c r="C110" s="32" t="s">
        <v>323</v>
      </c>
      <c r="D110" s="20">
        <v>0</v>
      </c>
      <c r="E110" s="20">
        <v>0</v>
      </c>
      <c r="F110" s="20">
        <v>0</v>
      </c>
      <c r="G110" s="15">
        <v>0</v>
      </c>
      <c r="H110" s="77">
        <v>0</v>
      </c>
      <c r="I110" s="77">
        <v>0</v>
      </c>
      <c r="J110" s="77">
        <v>0</v>
      </c>
      <c r="K110" s="77">
        <v>0</v>
      </c>
      <c r="L110" s="15">
        <v>0</v>
      </c>
      <c r="M110" s="15">
        <v>0</v>
      </c>
      <c r="N110" s="15">
        <f>'2 lentelė'!L105</f>
        <v>588235.30000000005</v>
      </c>
      <c r="O110" s="15">
        <f>'2 lentelė'!Q105</f>
        <v>500000</v>
      </c>
      <c r="P110" s="15">
        <v>0</v>
      </c>
      <c r="Q110" s="15">
        <v>0</v>
      </c>
      <c r="R110" s="15">
        <f>D110+F110+H110+J110+L110+N110+P110</f>
        <v>588235.30000000005</v>
      </c>
      <c r="S110" s="15">
        <f t="shared" si="41"/>
        <v>500000</v>
      </c>
      <c r="T110" s="40"/>
      <c r="U110" s="40"/>
    </row>
    <row r="111" spans="2:21" s="7" customFormat="1" ht="51" hidden="1" x14ac:dyDescent="0.25">
      <c r="B111" s="12" t="s">
        <v>324</v>
      </c>
      <c r="C111" s="33" t="s">
        <v>325</v>
      </c>
      <c r="D111" s="12">
        <v>0</v>
      </c>
      <c r="E111" s="33">
        <v>0</v>
      </c>
      <c r="F111" s="12">
        <v>0</v>
      </c>
      <c r="G111" s="33">
        <v>0</v>
      </c>
      <c r="H111" s="12">
        <f>SUM(H112,H115)</f>
        <v>0</v>
      </c>
      <c r="I111" s="33">
        <f t="shared" ref="I111:S111" si="42">SUM(I112,I115)</f>
        <v>0</v>
      </c>
      <c r="J111" s="12">
        <f t="shared" si="42"/>
        <v>0</v>
      </c>
      <c r="K111" s="33">
        <f t="shared" si="42"/>
        <v>0</v>
      </c>
      <c r="L111" s="12">
        <f t="shared" si="42"/>
        <v>2044376</v>
      </c>
      <c r="M111" s="33">
        <f t="shared" si="42"/>
        <v>1737720</v>
      </c>
      <c r="N111" s="12">
        <f t="shared" si="42"/>
        <v>0</v>
      </c>
      <c r="O111" s="33">
        <f t="shared" si="42"/>
        <v>0</v>
      </c>
      <c r="P111" s="12">
        <f t="shared" si="42"/>
        <v>0</v>
      </c>
      <c r="Q111" s="33">
        <f t="shared" si="42"/>
        <v>0</v>
      </c>
      <c r="R111" s="12">
        <f t="shared" si="42"/>
        <v>2044376</v>
      </c>
      <c r="S111" s="33">
        <f t="shared" si="42"/>
        <v>1737720</v>
      </c>
      <c r="T111" s="40"/>
      <c r="U111" s="40"/>
    </row>
    <row r="112" spans="2:21" s="7" customFormat="1" ht="63.75" hidden="1" x14ac:dyDescent="0.25">
      <c r="B112" s="13" t="s">
        <v>326</v>
      </c>
      <c r="C112" s="28" t="s">
        <v>327</v>
      </c>
      <c r="D112" s="28">
        <v>0</v>
      </c>
      <c r="E112" s="28">
        <v>0</v>
      </c>
      <c r="F112" s="28">
        <v>0</v>
      </c>
      <c r="G112" s="28">
        <v>0</v>
      </c>
      <c r="H112" s="13">
        <f>SUM(H113)</f>
        <v>0</v>
      </c>
      <c r="I112" s="28">
        <f t="shared" ref="I112:S113" si="43">SUM(I113)</f>
        <v>0</v>
      </c>
      <c r="J112" s="28">
        <f t="shared" si="43"/>
        <v>0</v>
      </c>
      <c r="K112" s="28">
        <f t="shared" si="43"/>
        <v>0</v>
      </c>
      <c r="L112" s="28">
        <f t="shared" si="43"/>
        <v>2044376</v>
      </c>
      <c r="M112" s="28">
        <f t="shared" si="43"/>
        <v>1737720</v>
      </c>
      <c r="N112" s="13">
        <f t="shared" si="43"/>
        <v>0</v>
      </c>
      <c r="O112" s="28">
        <f t="shared" si="43"/>
        <v>0</v>
      </c>
      <c r="P112" s="28">
        <f t="shared" si="43"/>
        <v>0</v>
      </c>
      <c r="Q112" s="28">
        <f t="shared" si="43"/>
        <v>0</v>
      </c>
      <c r="R112" s="28">
        <f t="shared" si="43"/>
        <v>2044376</v>
      </c>
      <c r="S112" s="28">
        <f t="shared" si="43"/>
        <v>1737720</v>
      </c>
      <c r="T112" s="40"/>
      <c r="U112" s="40"/>
    </row>
    <row r="113" spans="2:21" s="7" customFormat="1" ht="140.25" hidden="1" x14ac:dyDescent="0.25">
      <c r="B113" s="30" t="s">
        <v>328</v>
      </c>
      <c r="C113" s="30" t="s">
        <v>329</v>
      </c>
      <c r="D113" s="30">
        <v>0</v>
      </c>
      <c r="E113" s="30">
        <v>0</v>
      </c>
      <c r="F113" s="30">
        <v>0</v>
      </c>
      <c r="G113" s="30">
        <v>0</v>
      </c>
      <c r="H113" s="30">
        <f>SUM(H114)</f>
        <v>0</v>
      </c>
      <c r="I113" s="30">
        <f t="shared" si="43"/>
        <v>0</v>
      </c>
      <c r="J113" s="30">
        <f t="shared" si="43"/>
        <v>0</v>
      </c>
      <c r="K113" s="30">
        <f t="shared" si="43"/>
        <v>0</v>
      </c>
      <c r="L113" s="30">
        <f t="shared" si="43"/>
        <v>2044376</v>
      </c>
      <c r="M113" s="30">
        <f t="shared" si="43"/>
        <v>1737720</v>
      </c>
      <c r="N113" s="30">
        <f t="shared" si="43"/>
        <v>0</v>
      </c>
      <c r="O113" s="30">
        <f t="shared" si="43"/>
        <v>0</v>
      </c>
      <c r="P113" s="30">
        <f t="shared" si="43"/>
        <v>0</v>
      </c>
      <c r="Q113" s="30">
        <f t="shared" si="43"/>
        <v>0</v>
      </c>
      <c r="R113" s="30">
        <f t="shared" si="43"/>
        <v>2044376</v>
      </c>
      <c r="S113" s="30">
        <f t="shared" si="43"/>
        <v>1737720</v>
      </c>
      <c r="T113" s="40"/>
      <c r="U113" s="40"/>
    </row>
    <row r="114" spans="2:21" s="7" customFormat="1" ht="102" hidden="1" x14ac:dyDescent="0.25">
      <c r="B114" s="31" t="s">
        <v>330</v>
      </c>
      <c r="C114" s="32" t="s">
        <v>331</v>
      </c>
      <c r="D114" s="20">
        <v>0</v>
      </c>
      <c r="E114" s="20">
        <v>0</v>
      </c>
      <c r="F114" s="20">
        <v>0</v>
      </c>
      <c r="G114" s="15">
        <v>0</v>
      </c>
      <c r="H114" s="15">
        <v>0</v>
      </c>
      <c r="I114" s="15">
        <v>0</v>
      </c>
      <c r="J114" s="15">
        <v>0</v>
      </c>
      <c r="K114" s="15">
        <v>0</v>
      </c>
      <c r="L114" s="15">
        <f>'2 lentelė'!L109</f>
        <v>2044376</v>
      </c>
      <c r="M114" s="15">
        <f>'2 lentelė'!Q109</f>
        <v>1737720</v>
      </c>
      <c r="N114" s="15">
        <v>0</v>
      </c>
      <c r="O114" s="15">
        <v>0</v>
      </c>
      <c r="P114" s="15">
        <v>0</v>
      </c>
      <c r="Q114" s="15">
        <v>0</v>
      </c>
      <c r="R114" s="15">
        <f>D114+F114+H114+J114+L114+N114+P114</f>
        <v>2044376</v>
      </c>
      <c r="S114" s="15">
        <f>E114+G114+I114+K114+M114+O114+Q114</f>
        <v>1737720</v>
      </c>
      <c r="T114" s="40"/>
      <c r="U114" s="40"/>
    </row>
    <row r="115" spans="2:21" s="7" customFormat="1" ht="38.25" hidden="1" x14ac:dyDescent="0.25">
      <c r="B115" s="13" t="s">
        <v>332</v>
      </c>
      <c r="C115" s="28" t="s">
        <v>333</v>
      </c>
      <c r="D115" s="28">
        <v>0</v>
      </c>
      <c r="E115" s="13">
        <v>0</v>
      </c>
      <c r="F115" s="28">
        <v>0</v>
      </c>
      <c r="G115" s="28">
        <v>0</v>
      </c>
      <c r="H115" s="13">
        <v>0</v>
      </c>
      <c r="I115" s="28">
        <v>0</v>
      </c>
      <c r="J115" s="28">
        <v>0</v>
      </c>
      <c r="K115" s="13">
        <v>0</v>
      </c>
      <c r="L115" s="28">
        <v>0</v>
      </c>
      <c r="M115" s="28">
        <v>0</v>
      </c>
      <c r="N115" s="13">
        <v>0</v>
      </c>
      <c r="O115" s="28">
        <v>0</v>
      </c>
      <c r="P115" s="28">
        <v>0</v>
      </c>
      <c r="Q115" s="13">
        <v>0</v>
      </c>
      <c r="R115" s="28">
        <v>0</v>
      </c>
      <c r="S115" s="28">
        <v>0</v>
      </c>
      <c r="T115" s="40"/>
      <c r="U115" s="40"/>
    </row>
    <row r="116" spans="2:21" s="7" customFormat="1" ht="38.25" hidden="1" x14ac:dyDescent="0.25">
      <c r="B116" s="30" t="s">
        <v>334</v>
      </c>
      <c r="C116" s="30" t="s">
        <v>335</v>
      </c>
      <c r="D116" s="30">
        <v>0</v>
      </c>
      <c r="E116" s="30">
        <v>0</v>
      </c>
      <c r="F116" s="30">
        <v>0</v>
      </c>
      <c r="G116" s="30">
        <v>0</v>
      </c>
      <c r="H116" s="30">
        <v>0</v>
      </c>
      <c r="I116" s="30">
        <v>0</v>
      </c>
      <c r="J116" s="30">
        <v>0</v>
      </c>
      <c r="K116" s="30">
        <v>0</v>
      </c>
      <c r="L116" s="30">
        <v>0</v>
      </c>
      <c r="M116" s="30">
        <v>0</v>
      </c>
      <c r="N116" s="30">
        <v>0</v>
      </c>
      <c r="O116" s="30">
        <v>0</v>
      </c>
      <c r="P116" s="30">
        <v>0</v>
      </c>
      <c r="Q116" s="30">
        <v>0</v>
      </c>
      <c r="R116" s="30">
        <v>0</v>
      </c>
      <c r="S116" s="30">
        <v>0</v>
      </c>
      <c r="T116" s="40"/>
      <c r="U116" s="40"/>
    </row>
    <row r="117" spans="2:21" s="7" customFormat="1" ht="25.5" hidden="1" x14ac:dyDescent="0.25">
      <c r="B117" s="71" t="s">
        <v>975</v>
      </c>
      <c r="C117" s="70" t="s">
        <v>974</v>
      </c>
      <c r="D117" s="70">
        <f>D118+D131</f>
        <v>0</v>
      </c>
      <c r="E117" s="70">
        <f t="shared" ref="E117:S117" si="44">E118+E131</f>
        <v>0</v>
      </c>
      <c r="F117" s="70">
        <f t="shared" si="44"/>
        <v>0</v>
      </c>
      <c r="G117" s="70">
        <f t="shared" si="44"/>
        <v>0</v>
      </c>
      <c r="H117" s="70">
        <f t="shared" si="44"/>
        <v>2153660.5</v>
      </c>
      <c r="I117" s="70">
        <f t="shared" si="44"/>
        <v>1830610.27</v>
      </c>
      <c r="J117" s="70">
        <f t="shared" si="44"/>
        <v>8310772.7999999998</v>
      </c>
      <c r="K117" s="70">
        <f t="shared" si="44"/>
        <v>7762164.1099999994</v>
      </c>
      <c r="L117" s="70">
        <f t="shared" si="44"/>
        <v>4854119.7699999996</v>
      </c>
      <c r="M117" s="70">
        <f t="shared" si="44"/>
        <v>3497538.87</v>
      </c>
      <c r="N117" s="70">
        <f t="shared" si="44"/>
        <v>511083.31000000006</v>
      </c>
      <c r="O117" s="70">
        <f t="shared" si="44"/>
        <v>431242.05</v>
      </c>
      <c r="P117" s="70">
        <f t="shared" si="44"/>
        <v>0</v>
      </c>
      <c r="Q117" s="70">
        <f t="shared" si="44"/>
        <v>0</v>
      </c>
      <c r="R117" s="70">
        <f t="shared" si="44"/>
        <v>16819561.260000002</v>
      </c>
      <c r="S117" s="70">
        <f t="shared" si="44"/>
        <v>13521555.300000001</v>
      </c>
      <c r="T117" s="40"/>
      <c r="U117" s="40"/>
    </row>
    <row r="118" spans="2:21" s="7" customFormat="1" ht="51" hidden="1" x14ac:dyDescent="0.25">
      <c r="B118" s="12" t="s">
        <v>336</v>
      </c>
      <c r="C118" s="33" t="s">
        <v>337</v>
      </c>
      <c r="D118" s="12">
        <v>0</v>
      </c>
      <c r="E118" s="12">
        <v>0</v>
      </c>
      <c r="F118" s="33">
        <v>0</v>
      </c>
      <c r="G118" s="12">
        <v>0</v>
      </c>
      <c r="H118" s="12">
        <f>H119+H127</f>
        <v>0</v>
      </c>
      <c r="I118" s="12">
        <f t="shared" ref="I118:S118" si="45">I119+I127</f>
        <v>0</v>
      </c>
      <c r="J118" s="12">
        <f t="shared" si="45"/>
        <v>1977307</v>
      </c>
      <c r="K118" s="12">
        <f t="shared" si="45"/>
        <v>2235240</v>
      </c>
      <c r="L118" s="12">
        <f t="shared" si="45"/>
        <v>863637.1</v>
      </c>
      <c r="M118" s="12">
        <f t="shared" si="45"/>
        <v>560529</v>
      </c>
      <c r="N118" s="12">
        <f t="shared" si="45"/>
        <v>0</v>
      </c>
      <c r="O118" s="12">
        <f t="shared" si="45"/>
        <v>0</v>
      </c>
      <c r="P118" s="12">
        <f t="shared" si="45"/>
        <v>0</v>
      </c>
      <c r="Q118" s="12">
        <f t="shared" si="45"/>
        <v>0</v>
      </c>
      <c r="R118" s="12">
        <f t="shared" si="45"/>
        <v>3566946.1</v>
      </c>
      <c r="S118" s="12">
        <f t="shared" si="45"/>
        <v>2795769</v>
      </c>
      <c r="T118" s="40"/>
      <c r="U118" s="40"/>
    </row>
    <row r="119" spans="2:21" s="7" customFormat="1" ht="53.25" hidden="1" customHeight="1" x14ac:dyDescent="0.25">
      <c r="B119" s="13" t="s">
        <v>338</v>
      </c>
      <c r="C119" s="28" t="s">
        <v>339</v>
      </c>
      <c r="D119" s="13">
        <v>0</v>
      </c>
      <c r="E119" s="28">
        <v>0</v>
      </c>
      <c r="F119" s="13">
        <v>0</v>
      </c>
      <c r="G119" s="28">
        <v>0</v>
      </c>
      <c r="H119" s="13">
        <f t="shared" ref="H119:S119" si="46">H120+H123</f>
        <v>0</v>
      </c>
      <c r="I119" s="28">
        <f t="shared" si="46"/>
        <v>0</v>
      </c>
      <c r="J119" s="13">
        <f t="shared" si="46"/>
        <v>324706</v>
      </c>
      <c r="K119" s="28">
        <f t="shared" si="46"/>
        <v>830529</v>
      </c>
      <c r="L119" s="13">
        <f t="shared" si="46"/>
        <v>863637.1</v>
      </c>
      <c r="M119" s="28">
        <f t="shared" si="46"/>
        <v>560529</v>
      </c>
      <c r="N119" s="13">
        <f t="shared" si="46"/>
        <v>0</v>
      </c>
      <c r="O119" s="28">
        <f t="shared" si="46"/>
        <v>0</v>
      </c>
      <c r="P119" s="13">
        <f t="shared" si="46"/>
        <v>0</v>
      </c>
      <c r="Q119" s="28">
        <f t="shared" si="46"/>
        <v>0</v>
      </c>
      <c r="R119" s="13">
        <f t="shared" si="46"/>
        <v>1914345.1</v>
      </c>
      <c r="S119" s="28">
        <f t="shared" si="46"/>
        <v>1391058</v>
      </c>
      <c r="T119" s="40"/>
      <c r="U119" s="40"/>
    </row>
    <row r="120" spans="2:21" s="7" customFormat="1" ht="51" hidden="1" x14ac:dyDescent="0.25">
      <c r="B120" s="30" t="s">
        <v>340</v>
      </c>
      <c r="C120" s="30" t="s">
        <v>341</v>
      </c>
      <c r="D120" s="30">
        <v>0</v>
      </c>
      <c r="E120" s="30">
        <v>0</v>
      </c>
      <c r="F120" s="30">
        <v>0</v>
      </c>
      <c r="G120" s="30">
        <v>0</v>
      </c>
      <c r="H120" s="30">
        <f t="shared" ref="H120:S120" si="47">SUM(H121:H122)</f>
        <v>0</v>
      </c>
      <c r="I120" s="30">
        <f t="shared" si="47"/>
        <v>0</v>
      </c>
      <c r="J120" s="30">
        <f t="shared" si="47"/>
        <v>0</v>
      </c>
      <c r="K120" s="30">
        <f t="shared" si="47"/>
        <v>0</v>
      </c>
      <c r="L120" s="30">
        <f t="shared" si="47"/>
        <v>863637.1</v>
      </c>
      <c r="M120" s="30">
        <f t="shared" si="47"/>
        <v>560529</v>
      </c>
      <c r="N120" s="30">
        <f t="shared" si="47"/>
        <v>0</v>
      </c>
      <c r="O120" s="30">
        <f t="shared" si="47"/>
        <v>0</v>
      </c>
      <c r="P120" s="30">
        <f t="shared" si="47"/>
        <v>0</v>
      </c>
      <c r="Q120" s="30">
        <f t="shared" si="47"/>
        <v>0</v>
      </c>
      <c r="R120" s="30">
        <f t="shared" si="47"/>
        <v>863637.1</v>
      </c>
      <c r="S120" s="30">
        <f t="shared" si="47"/>
        <v>560529</v>
      </c>
      <c r="T120" s="40"/>
      <c r="U120" s="40"/>
    </row>
    <row r="121" spans="2:21" s="7" customFormat="1" ht="40.5" hidden="1" customHeight="1" x14ac:dyDescent="0.25">
      <c r="B121" s="31" t="s">
        <v>342</v>
      </c>
      <c r="C121" s="32" t="s">
        <v>343</v>
      </c>
      <c r="D121" s="20">
        <v>0</v>
      </c>
      <c r="E121" s="20">
        <v>0</v>
      </c>
      <c r="F121" s="20">
        <v>0</v>
      </c>
      <c r="G121" s="15">
        <v>0</v>
      </c>
      <c r="H121" s="15">
        <v>0</v>
      </c>
      <c r="I121" s="15">
        <v>0</v>
      </c>
      <c r="J121" s="15">
        <v>0</v>
      </c>
      <c r="K121" s="15">
        <v>0</v>
      </c>
      <c r="L121" s="15">
        <f>'2 lentelė'!L116</f>
        <v>249008</v>
      </c>
      <c r="M121" s="15">
        <f>'2 lentelė'!Q116</f>
        <v>174149</v>
      </c>
      <c r="N121" s="15">
        <v>0</v>
      </c>
      <c r="O121" s="15">
        <v>0</v>
      </c>
      <c r="P121" s="15">
        <v>0</v>
      </c>
      <c r="Q121" s="15">
        <v>0</v>
      </c>
      <c r="R121" s="15">
        <f>D121+F121+H121+J121+L121+N121+P121</f>
        <v>249008</v>
      </c>
      <c r="S121" s="15">
        <f>E121+G121+I121+K121+M121+O121+Q121</f>
        <v>174149</v>
      </c>
      <c r="T121" s="40"/>
      <c r="U121" s="40"/>
    </row>
    <row r="122" spans="2:21" s="7" customFormat="1" ht="51" hidden="1" x14ac:dyDescent="0.25">
      <c r="B122" s="31" t="s">
        <v>344</v>
      </c>
      <c r="C122" s="32" t="s">
        <v>345</v>
      </c>
      <c r="D122" s="20">
        <v>0</v>
      </c>
      <c r="E122" s="20">
        <v>0</v>
      </c>
      <c r="F122" s="20">
        <v>0</v>
      </c>
      <c r="G122" s="15">
        <v>0</v>
      </c>
      <c r="H122" s="15">
        <v>0</v>
      </c>
      <c r="I122" s="15">
        <v>0</v>
      </c>
      <c r="J122" s="15">
        <v>0</v>
      </c>
      <c r="K122" s="15">
        <v>0</v>
      </c>
      <c r="L122" s="15">
        <f>'2 lentelė'!L117</f>
        <v>614629.1</v>
      </c>
      <c r="M122" s="15">
        <f>'2 lentelė'!Q117</f>
        <v>386380</v>
      </c>
      <c r="N122" s="15">
        <v>0</v>
      </c>
      <c r="O122" s="15">
        <v>0</v>
      </c>
      <c r="P122" s="15">
        <v>0</v>
      </c>
      <c r="Q122" s="15">
        <v>0</v>
      </c>
      <c r="R122" s="15">
        <f>D122+F122+H122+J122+L122+N122+P122</f>
        <v>614629.1</v>
      </c>
      <c r="S122" s="15">
        <f>E122+G122+I122+K122+M122+O122+Q122</f>
        <v>386380</v>
      </c>
      <c r="T122" s="40"/>
      <c r="U122" s="40"/>
    </row>
    <row r="123" spans="2:21" s="7" customFormat="1" ht="38.25" hidden="1" x14ac:dyDescent="0.25">
      <c r="B123" s="30" t="s">
        <v>346</v>
      </c>
      <c r="C123" s="30" t="s">
        <v>347</v>
      </c>
      <c r="D123" s="30">
        <v>0</v>
      </c>
      <c r="E123" s="30">
        <v>0</v>
      </c>
      <c r="F123" s="30">
        <v>0</v>
      </c>
      <c r="G123" s="30">
        <v>0</v>
      </c>
      <c r="H123" s="30">
        <f>SUM(H124:H124)</f>
        <v>0</v>
      </c>
      <c r="I123" s="30">
        <f>SUM(I124:I124)</f>
        <v>0</v>
      </c>
      <c r="J123" s="30">
        <f>SUM(J124:J124)</f>
        <v>324706</v>
      </c>
      <c r="K123" s="30">
        <f>SUM(K124:K126)</f>
        <v>830529</v>
      </c>
      <c r="L123" s="30">
        <f t="shared" ref="L123:S123" si="48">SUM(L124:L126)</f>
        <v>0</v>
      </c>
      <c r="M123" s="30">
        <f t="shared" si="48"/>
        <v>0</v>
      </c>
      <c r="N123" s="30">
        <f t="shared" si="48"/>
        <v>0</v>
      </c>
      <c r="O123" s="30">
        <f t="shared" si="48"/>
        <v>0</v>
      </c>
      <c r="P123" s="30">
        <f t="shared" si="48"/>
        <v>0</v>
      </c>
      <c r="Q123" s="30">
        <f t="shared" si="48"/>
        <v>0</v>
      </c>
      <c r="R123" s="30">
        <f t="shared" si="48"/>
        <v>1050708</v>
      </c>
      <c r="S123" s="30">
        <f t="shared" si="48"/>
        <v>830529</v>
      </c>
      <c r="T123" s="40"/>
      <c r="U123" s="40"/>
    </row>
    <row r="124" spans="2:21" s="7" customFormat="1" ht="78" hidden="1" customHeight="1" x14ac:dyDescent="0.25">
      <c r="B124" s="31" t="s">
        <v>348</v>
      </c>
      <c r="C124" s="32" t="s">
        <v>349</v>
      </c>
      <c r="D124" s="20">
        <v>0</v>
      </c>
      <c r="E124" s="20">
        <v>0</v>
      </c>
      <c r="F124" s="20">
        <v>0</v>
      </c>
      <c r="G124" s="15">
        <v>0</v>
      </c>
      <c r="H124" s="15">
        <v>0</v>
      </c>
      <c r="I124" s="15">
        <v>0</v>
      </c>
      <c r="J124" s="15">
        <f>'2 lentelė'!L119</f>
        <v>324706</v>
      </c>
      <c r="K124" s="15">
        <f>'2 lentelė'!Q119</f>
        <v>276000</v>
      </c>
      <c r="L124" s="15">
        <v>0</v>
      </c>
      <c r="M124" s="15">
        <v>0</v>
      </c>
      <c r="N124" s="15">
        <v>0</v>
      </c>
      <c r="O124" s="15">
        <v>0</v>
      </c>
      <c r="P124" s="15">
        <v>0</v>
      </c>
      <c r="Q124" s="15">
        <v>0</v>
      </c>
      <c r="R124" s="15">
        <f t="shared" ref="R124:S126" si="49">D124+F124+H124+J124+L124+N124+P124</f>
        <v>324706</v>
      </c>
      <c r="S124" s="15">
        <f t="shared" si="49"/>
        <v>276000</v>
      </c>
      <c r="T124" s="40"/>
      <c r="U124" s="40"/>
    </row>
    <row r="125" spans="2:21" s="7" customFormat="1" ht="63.75" hidden="1" x14ac:dyDescent="0.25">
      <c r="B125" s="31" t="s">
        <v>350</v>
      </c>
      <c r="C125" s="32" t="s">
        <v>351</v>
      </c>
      <c r="D125" s="20">
        <v>0</v>
      </c>
      <c r="E125" s="20">
        <v>0</v>
      </c>
      <c r="F125" s="20">
        <v>0</v>
      </c>
      <c r="G125" s="15">
        <v>0</v>
      </c>
      <c r="H125" s="15">
        <v>0</v>
      </c>
      <c r="I125" s="15">
        <v>0</v>
      </c>
      <c r="J125" s="15">
        <f>'2 lentelė'!L120</f>
        <v>363001</v>
      </c>
      <c r="K125" s="15">
        <f>'2 lentelė'!Q120</f>
        <v>282125</v>
      </c>
      <c r="L125" s="15">
        <v>0</v>
      </c>
      <c r="M125" s="15">
        <v>0</v>
      </c>
      <c r="N125" s="15">
        <v>0</v>
      </c>
      <c r="O125" s="15">
        <v>0</v>
      </c>
      <c r="P125" s="15">
        <v>0</v>
      </c>
      <c r="Q125" s="15">
        <v>0</v>
      </c>
      <c r="R125" s="15">
        <f t="shared" si="49"/>
        <v>363001</v>
      </c>
      <c r="S125" s="15">
        <f t="shared" si="49"/>
        <v>282125</v>
      </c>
      <c r="T125" s="40"/>
      <c r="U125" s="40"/>
    </row>
    <row r="126" spans="2:21" s="7" customFormat="1" ht="51" hidden="1" x14ac:dyDescent="0.25">
      <c r="B126" s="31" t="s">
        <v>352</v>
      </c>
      <c r="C126" s="32" t="s">
        <v>353</v>
      </c>
      <c r="D126" s="20">
        <v>0</v>
      </c>
      <c r="E126" s="20">
        <v>0</v>
      </c>
      <c r="F126" s="20">
        <v>0</v>
      </c>
      <c r="G126" s="15">
        <v>0</v>
      </c>
      <c r="H126" s="15">
        <v>0</v>
      </c>
      <c r="I126" s="15">
        <v>0</v>
      </c>
      <c r="J126" s="15">
        <f>'2 lentelė'!L121</f>
        <v>363001</v>
      </c>
      <c r="K126" s="15">
        <f>'2 lentelė'!Q121</f>
        <v>272404</v>
      </c>
      <c r="L126" s="15">
        <v>0</v>
      </c>
      <c r="M126" s="15">
        <v>0</v>
      </c>
      <c r="N126" s="15">
        <v>0</v>
      </c>
      <c r="O126" s="15">
        <v>0</v>
      </c>
      <c r="P126" s="15">
        <v>0</v>
      </c>
      <c r="Q126" s="15">
        <v>0</v>
      </c>
      <c r="R126" s="15">
        <f t="shared" si="49"/>
        <v>363001</v>
      </c>
      <c r="S126" s="15">
        <f t="shared" si="49"/>
        <v>272404</v>
      </c>
      <c r="T126" s="40"/>
      <c r="U126" s="40"/>
    </row>
    <row r="127" spans="2:21" s="7" customFormat="1" ht="38.25" hidden="1" x14ac:dyDescent="0.25">
      <c r="B127" s="13" t="s">
        <v>354</v>
      </c>
      <c r="C127" s="28" t="s">
        <v>355</v>
      </c>
      <c r="D127" s="13">
        <v>0</v>
      </c>
      <c r="E127" s="13">
        <v>0</v>
      </c>
      <c r="F127" s="28">
        <v>0</v>
      </c>
      <c r="G127" s="13">
        <v>0</v>
      </c>
      <c r="H127" s="13">
        <f>SUM(H128)</f>
        <v>0</v>
      </c>
      <c r="I127" s="28">
        <f t="shared" ref="I127:S127" si="50">SUM(I128)</f>
        <v>0</v>
      </c>
      <c r="J127" s="13">
        <f t="shared" si="50"/>
        <v>1652601</v>
      </c>
      <c r="K127" s="13">
        <f t="shared" si="50"/>
        <v>1404711</v>
      </c>
      <c r="L127" s="28">
        <f t="shared" si="50"/>
        <v>0</v>
      </c>
      <c r="M127" s="13">
        <f t="shared" si="50"/>
        <v>0</v>
      </c>
      <c r="N127" s="13">
        <f t="shared" si="50"/>
        <v>0</v>
      </c>
      <c r="O127" s="28">
        <f t="shared" si="50"/>
        <v>0</v>
      </c>
      <c r="P127" s="13">
        <f t="shared" si="50"/>
        <v>0</v>
      </c>
      <c r="Q127" s="13">
        <f t="shared" si="50"/>
        <v>0</v>
      </c>
      <c r="R127" s="28">
        <f t="shared" si="50"/>
        <v>1652601</v>
      </c>
      <c r="S127" s="13">
        <f t="shared" si="50"/>
        <v>1404711</v>
      </c>
      <c r="T127" s="40"/>
      <c r="U127" s="40"/>
    </row>
    <row r="128" spans="2:21" s="7" customFormat="1" ht="38.25" hidden="1" x14ac:dyDescent="0.25">
      <c r="B128" s="30" t="s">
        <v>356</v>
      </c>
      <c r="C128" s="30" t="s">
        <v>357</v>
      </c>
      <c r="D128" s="30">
        <v>0</v>
      </c>
      <c r="E128" s="30">
        <v>0</v>
      </c>
      <c r="F128" s="30">
        <v>0</v>
      </c>
      <c r="G128" s="30">
        <v>0</v>
      </c>
      <c r="H128" s="30">
        <f>SUM(H129:H130)</f>
        <v>0</v>
      </c>
      <c r="I128" s="30">
        <f t="shared" ref="I128:S128" si="51">SUM(I129:I130)</f>
        <v>0</v>
      </c>
      <c r="J128" s="30">
        <f t="shared" si="51"/>
        <v>1652601</v>
      </c>
      <c r="K128" s="30">
        <f t="shared" si="51"/>
        <v>1404711</v>
      </c>
      <c r="L128" s="30">
        <f>SUM(L129:L130)</f>
        <v>0</v>
      </c>
      <c r="M128" s="30">
        <f t="shared" si="51"/>
        <v>0</v>
      </c>
      <c r="N128" s="30">
        <f t="shared" si="51"/>
        <v>0</v>
      </c>
      <c r="O128" s="30">
        <f t="shared" si="51"/>
        <v>0</v>
      </c>
      <c r="P128" s="30">
        <f t="shared" si="51"/>
        <v>0</v>
      </c>
      <c r="Q128" s="30">
        <f t="shared" si="51"/>
        <v>0</v>
      </c>
      <c r="R128" s="30">
        <f t="shared" si="51"/>
        <v>1652601</v>
      </c>
      <c r="S128" s="30">
        <f t="shared" si="51"/>
        <v>1404711</v>
      </c>
      <c r="T128" s="40"/>
      <c r="U128" s="40"/>
    </row>
    <row r="129" spans="2:25" s="7" customFormat="1" ht="109.5" hidden="1" customHeight="1" x14ac:dyDescent="0.25">
      <c r="B129" s="31" t="s">
        <v>358</v>
      </c>
      <c r="C129" s="32" t="s">
        <v>359</v>
      </c>
      <c r="D129" s="20">
        <v>0</v>
      </c>
      <c r="E129" s="20">
        <v>0</v>
      </c>
      <c r="F129" s="20">
        <v>0</v>
      </c>
      <c r="G129" s="15">
        <v>0</v>
      </c>
      <c r="H129" s="15">
        <v>0</v>
      </c>
      <c r="I129" s="15">
        <v>0</v>
      </c>
      <c r="J129" s="15">
        <f>'2 lentelė'!L124</f>
        <v>320627</v>
      </c>
      <c r="K129" s="15">
        <f>'2 lentelė'!Q124</f>
        <v>272533</v>
      </c>
      <c r="L129" s="15">
        <v>0</v>
      </c>
      <c r="M129" s="15">
        <v>0</v>
      </c>
      <c r="N129" s="15">
        <v>0</v>
      </c>
      <c r="O129" s="15">
        <v>0</v>
      </c>
      <c r="P129" s="15">
        <v>0</v>
      </c>
      <c r="Q129" s="15">
        <v>0</v>
      </c>
      <c r="R129" s="15">
        <f>D129+F129+H129+J129+L129+N129+P129</f>
        <v>320627</v>
      </c>
      <c r="S129" s="15">
        <f>E129+G129+I129+K129+M129+O129+Q129</f>
        <v>272533</v>
      </c>
      <c r="T129" s="40"/>
      <c r="U129" s="40"/>
    </row>
    <row r="130" spans="2:25" s="7" customFormat="1" ht="25.5" hidden="1" x14ac:dyDescent="0.25">
      <c r="B130" s="31" t="s">
        <v>360</v>
      </c>
      <c r="C130" s="32" t="s">
        <v>361</v>
      </c>
      <c r="D130" s="20">
        <v>0</v>
      </c>
      <c r="E130" s="20">
        <v>0</v>
      </c>
      <c r="F130" s="20">
        <v>0</v>
      </c>
      <c r="G130" s="15">
        <v>0</v>
      </c>
      <c r="H130" s="15">
        <v>0</v>
      </c>
      <c r="I130" s="15">
        <v>0</v>
      </c>
      <c r="J130" s="15">
        <f>'2 lentelė'!L125</f>
        <v>1331974</v>
      </c>
      <c r="K130" s="15">
        <f>'2 lentelė'!Q125</f>
        <v>1132178</v>
      </c>
      <c r="L130" s="15">
        <v>0</v>
      </c>
      <c r="M130" s="15">
        <v>0</v>
      </c>
      <c r="N130" s="15">
        <v>0</v>
      </c>
      <c r="O130" s="15">
        <v>0</v>
      </c>
      <c r="P130" s="15">
        <v>0</v>
      </c>
      <c r="Q130" s="15">
        <v>0</v>
      </c>
      <c r="R130" s="15">
        <f>D130+F130+H130+J130+L130+N130+P130</f>
        <v>1331974</v>
      </c>
      <c r="S130" s="15">
        <f>E130+G130+I130+K130+M130+O130+Q130</f>
        <v>1132178</v>
      </c>
      <c r="T130" s="40"/>
      <c r="U130" s="40"/>
    </row>
    <row r="131" spans="2:25" s="7" customFormat="1" ht="38.25" hidden="1" x14ac:dyDescent="0.25">
      <c r="B131" s="12" t="s">
        <v>362</v>
      </c>
      <c r="C131" s="33" t="s">
        <v>363</v>
      </c>
      <c r="D131" s="12">
        <f>D132+D149+ D157+D170+D178</f>
        <v>0</v>
      </c>
      <c r="E131" s="12">
        <f t="shared" ref="E131:S131" si="52">E132+E149+ E157+E170+E178</f>
        <v>0</v>
      </c>
      <c r="F131" s="12">
        <f t="shared" si="52"/>
        <v>0</v>
      </c>
      <c r="G131" s="12">
        <f t="shared" si="52"/>
        <v>0</v>
      </c>
      <c r="H131" s="12">
        <f t="shared" si="52"/>
        <v>2153660.5</v>
      </c>
      <c r="I131" s="12">
        <f t="shared" si="52"/>
        <v>1830610.27</v>
      </c>
      <c r="J131" s="12">
        <f t="shared" si="52"/>
        <v>6333465.7999999998</v>
      </c>
      <c r="K131" s="12">
        <f t="shared" si="52"/>
        <v>5526924.1099999994</v>
      </c>
      <c r="L131" s="12">
        <f t="shared" si="52"/>
        <v>3990482.67</v>
      </c>
      <c r="M131" s="12">
        <f t="shared" si="52"/>
        <v>2937009.87</v>
      </c>
      <c r="N131" s="12">
        <f t="shared" si="52"/>
        <v>511083.31000000006</v>
      </c>
      <c r="O131" s="12">
        <f t="shared" si="52"/>
        <v>431242.05</v>
      </c>
      <c r="P131" s="12">
        <f t="shared" si="52"/>
        <v>0</v>
      </c>
      <c r="Q131" s="12">
        <f t="shared" si="52"/>
        <v>0</v>
      </c>
      <c r="R131" s="12">
        <f t="shared" si="52"/>
        <v>13252615.16</v>
      </c>
      <c r="S131" s="12">
        <f t="shared" si="52"/>
        <v>10725786.300000001</v>
      </c>
      <c r="T131" s="40"/>
      <c r="U131" s="40"/>
    </row>
    <row r="132" spans="2:25" s="7" customFormat="1" ht="44.25" hidden="1" customHeight="1" x14ac:dyDescent="0.25">
      <c r="B132" s="13" t="s">
        <v>364</v>
      </c>
      <c r="C132" s="28" t="s">
        <v>365</v>
      </c>
      <c r="D132" s="13">
        <f>D133+D142</f>
        <v>0</v>
      </c>
      <c r="E132" s="13">
        <f t="shared" ref="E132:S132" si="53">E133+E142</f>
        <v>0</v>
      </c>
      <c r="F132" s="13">
        <f t="shared" si="53"/>
        <v>0</v>
      </c>
      <c r="G132" s="13">
        <f t="shared" si="53"/>
        <v>0</v>
      </c>
      <c r="H132" s="13">
        <f t="shared" si="53"/>
        <v>0</v>
      </c>
      <c r="I132" s="13">
        <f t="shared" si="53"/>
        <v>0</v>
      </c>
      <c r="J132" s="13">
        <f t="shared" si="53"/>
        <v>0</v>
      </c>
      <c r="K132" s="13">
        <f t="shared" si="53"/>
        <v>0</v>
      </c>
      <c r="L132" s="13">
        <f t="shared" si="53"/>
        <v>1114177.3</v>
      </c>
      <c r="M132" s="13">
        <f t="shared" si="53"/>
        <v>781685.87</v>
      </c>
      <c r="N132" s="13">
        <f t="shared" si="53"/>
        <v>441083.31000000006</v>
      </c>
      <c r="O132" s="13">
        <f t="shared" si="53"/>
        <v>371742.05</v>
      </c>
      <c r="P132" s="13">
        <f t="shared" si="53"/>
        <v>0</v>
      </c>
      <c r="Q132" s="13">
        <f t="shared" si="53"/>
        <v>0</v>
      </c>
      <c r="R132" s="13">
        <f t="shared" si="53"/>
        <v>1555260.61</v>
      </c>
      <c r="S132" s="13">
        <f t="shared" si="53"/>
        <v>1153427.9200000002</v>
      </c>
      <c r="T132" s="40"/>
      <c r="U132" s="40"/>
    </row>
    <row r="133" spans="2:25" s="7" customFormat="1" ht="63.75" hidden="1" x14ac:dyDescent="0.25">
      <c r="B133" s="30" t="s">
        <v>366</v>
      </c>
      <c r="C133" s="30" t="s">
        <v>367</v>
      </c>
      <c r="D133" s="30">
        <v>0</v>
      </c>
      <c r="E133" s="30">
        <v>0</v>
      </c>
      <c r="F133" s="30">
        <v>0</v>
      </c>
      <c r="G133" s="30">
        <v>0</v>
      </c>
      <c r="H133" s="30">
        <v>0</v>
      </c>
      <c r="I133" s="30">
        <v>0</v>
      </c>
      <c r="J133" s="30">
        <v>0</v>
      </c>
      <c r="K133" s="30">
        <v>0</v>
      </c>
      <c r="L133" s="119">
        <f>L134+L135+L136+L137+L138+L139+L140+L141</f>
        <v>878275.73</v>
      </c>
      <c r="M133" s="119">
        <f t="shared" ref="M133:S133" si="54">M134+M135+M136+M137+M138+M139+M140+M141</f>
        <v>746535.25</v>
      </c>
      <c r="N133" s="119">
        <f t="shared" si="54"/>
        <v>441083.31000000006</v>
      </c>
      <c r="O133" s="119">
        <f t="shared" si="54"/>
        <v>371742.05</v>
      </c>
      <c r="P133" s="119">
        <f t="shared" si="54"/>
        <v>0</v>
      </c>
      <c r="Q133" s="119">
        <f t="shared" si="54"/>
        <v>0</v>
      </c>
      <c r="R133" s="119">
        <f t="shared" si="54"/>
        <v>1319359.04</v>
      </c>
      <c r="S133" s="119">
        <f t="shared" si="54"/>
        <v>1118277.3</v>
      </c>
      <c r="T133" s="40"/>
      <c r="U133" s="40"/>
    </row>
    <row r="134" spans="2:25" s="7" customFormat="1" ht="94.5" hidden="1" customHeight="1" x14ac:dyDescent="0.25">
      <c r="B134" s="32" t="s">
        <v>995</v>
      </c>
      <c r="C134" s="32" t="s">
        <v>1007</v>
      </c>
      <c r="D134" s="32">
        <v>0</v>
      </c>
      <c r="E134" s="32">
        <v>0</v>
      </c>
      <c r="F134" s="32">
        <v>0</v>
      </c>
      <c r="G134" s="32">
        <v>0</v>
      </c>
      <c r="H134" s="32">
        <v>0</v>
      </c>
      <c r="I134" s="32">
        <v>0</v>
      </c>
      <c r="J134" s="32">
        <v>0</v>
      </c>
      <c r="K134" s="32">
        <v>0</v>
      </c>
      <c r="L134" s="32">
        <f>'2 lentelė'!L129</f>
        <v>246940.54</v>
      </c>
      <c r="M134" s="32">
        <f>'2 lentelė'!Q129</f>
        <v>209899.44</v>
      </c>
      <c r="N134" s="32">
        <v>0</v>
      </c>
      <c r="O134" s="32">
        <v>0</v>
      </c>
      <c r="P134" s="32">
        <v>0</v>
      </c>
      <c r="Q134" s="32">
        <v>0</v>
      </c>
      <c r="R134" s="32">
        <f t="shared" ref="R134:S140" si="55">L134+N134+P134</f>
        <v>246940.54</v>
      </c>
      <c r="S134" s="32">
        <f t="shared" si="55"/>
        <v>209899.44</v>
      </c>
      <c r="T134" s="40"/>
      <c r="U134" s="40"/>
    </row>
    <row r="135" spans="2:25" s="7" customFormat="1" ht="57.75" hidden="1" customHeight="1" x14ac:dyDescent="0.25">
      <c r="B135" s="32" t="s">
        <v>996</v>
      </c>
      <c r="C135" s="32" t="s">
        <v>1013</v>
      </c>
      <c r="D135" s="32">
        <v>0</v>
      </c>
      <c r="E135" s="32">
        <v>0</v>
      </c>
      <c r="F135" s="32">
        <v>0</v>
      </c>
      <c r="G135" s="32">
        <v>0</v>
      </c>
      <c r="H135" s="32">
        <v>0</v>
      </c>
      <c r="I135" s="32">
        <v>0</v>
      </c>
      <c r="J135" s="32">
        <v>0</v>
      </c>
      <c r="K135" s="32">
        <v>0</v>
      </c>
      <c r="L135" s="32">
        <v>0</v>
      </c>
      <c r="M135" s="32">
        <v>0</v>
      </c>
      <c r="N135" s="32">
        <f>'2 lentelė'!L130</f>
        <v>112739.46</v>
      </c>
      <c r="O135" s="32">
        <f>'2 lentelė'!Q130</f>
        <v>95828.54</v>
      </c>
      <c r="P135" s="32">
        <v>0</v>
      </c>
      <c r="Q135" s="32">
        <v>0</v>
      </c>
      <c r="R135" s="32">
        <f t="shared" si="55"/>
        <v>112739.46</v>
      </c>
      <c r="S135" s="32">
        <f t="shared" si="55"/>
        <v>95828.54</v>
      </c>
      <c r="T135" s="40"/>
      <c r="U135" s="40"/>
    </row>
    <row r="136" spans="2:25" s="7" customFormat="1" ht="96" hidden="1" customHeight="1" x14ac:dyDescent="0.25">
      <c r="B136" s="32" t="s">
        <v>997</v>
      </c>
      <c r="C136" s="32" t="s">
        <v>1016</v>
      </c>
      <c r="D136" s="32">
        <v>0</v>
      </c>
      <c r="E136" s="32">
        <v>0</v>
      </c>
      <c r="F136" s="32">
        <v>0</v>
      </c>
      <c r="G136" s="32">
        <v>0</v>
      </c>
      <c r="H136" s="32">
        <v>0</v>
      </c>
      <c r="I136" s="32">
        <v>0</v>
      </c>
      <c r="J136" s="32">
        <v>0</v>
      </c>
      <c r="K136" s="32">
        <v>0</v>
      </c>
      <c r="L136" s="32">
        <f>'2 lentelė'!L131</f>
        <v>95269.19</v>
      </c>
      <c r="M136" s="32">
        <f>'2 lentelė'!Q131</f>
        <v>80978.81</v>
      </c>
      <c r="N136" s="32">
        <v>0</v>
      </c>
      <c r="O136" s="32">
        <v>0</v>
      </c>
      <c r="P136" s="32">
        <v>0</v>
      </c>
      <c r="Q136" s="32">
        <v>0</v>
      </c>
      <c r="R136" s="32">
        <f t="shared" si="55"/>
        <v>95269.19</v>
      </c>
      <c r="S136" s="32">
        <f t="shared" si="55"/>
        <v>80978.81</v>
      </c>
      <c r="T136" s="40"/>
      <c r="U136" s="40"/>
    </row>
    <row r="137" spans="2:25" s="7" customFormat="1" ht="60.75" hidden="1" customHeight="1" x14ac:dyDescent="0.25">
      <c r="B137" s="32" t="s">
        <v>998</v>
      </c>
      <c r="C137" s="32" t="s">
        <v>1018</v>
      </c>
      <c r="D137" s="32">
        <v>0</v>
      </c>
      <c r="E137" s="32">
        <v>0</v>
      </c>
      <c r="F137" s="32">
        <v>0</v>
      </c>
      <c r="G137" s="32">
        <v>0</v>
      </c>
      <c r="H137" s="32">
        <v>0</v>
      </c>
      <c r="I137" s="32">
        <v>0</v>
      </c>
      <c r="J137" s="32">
        <v>0</v>
      </c>
      <c r="K137" s="32">
        <v>0</v>
      </c>
      <c r="L137" s="107">
        <f>'2 lentelė'!L132</f>
        <v>182486</v>
      </c>
      <c r="M137" s="107">
        <f>'2 lentelė'!Q132</f>
        <v>155114</v>
      </c>
      <c r="N137" s="32">
        <v>0</v>
      </c>
      <c r="O137" s="32">
        <v>0</v>
      </c>
      <c r="P137" s="32">
        <v>0</v>
      </c>
      <c r="Q137" s="32">
        <v>0</v>
      </c>
      <c r="R137" s="32">
        <f t="shared" si="55"/>
        <v>182486</v>
      </c>
      <c r="S137" s="32">
        <f t="shared" si="55"/>
        <v>155114</v>
      </c>
      <c r="T137" s="40"/>
      <c r="U137" s="40"/>
    </row>
    <row r="138" spans="2:25" s="7" customFormat="1" ht="49.5" hidden="1" customHeight="1" x14ac:dyDescent="0.25">
      <c r="B138" s="32" t="s">
        <v>999</v>
      </c>
      <c r="C138" s="32" t="s">
        <v>1020</v>
      </c>
      <c r="D138" s="32">
        <v>0</v>
      </c>
      <c r="E138" s="32">
        <v>0</v>
      </c>
      <c r="F138" s="32">
        <v>0</v>
      </c>
      <c r="G138" s="32">
        <v>0</v>
      </c>
      <c r="H138" s="32">
        <v>0</v>
      </c>
      <c r="I138" s="32">
        <v>0</v>
      </c>
      <c r="J138" s="32">
        <v>0</v>
      </c>
      <c r="K138" s="32">
        <v>0</v>
      </c>
      <c r="L138" s="32">
        <v>0</v>
      </c>
      <c r="M138" s="32">
        <v>0</v>
      </c>
      <c r="N138" s="32">
        <f>'2 lentelė'!L133</f>
        <v>294117.65000000002</v>
      </c>
      <c r="O138" s="107">
        <f>'2 lentelė'!Q133</f>
        <v>250000</v>
      </c>
      <c r="P138" s="32">
        <v>0</v>
      </c>
      <c r="Q138" s="32">
        <v>0</v>
      </c>
      <c r="R138" s="32">
        <f t="shared" si="55"/>
        <v>294117.65000000002</v>
      </c>
      <c r="S138" s="32">
        <f t="shared" si="55"/>
        <v>250000</v>
      </c>
      <c r="T138" s="40"/>
      <c r="U138" s="40"/>
    </row>
    <row r="139" spans="2:25" s="7" customFormat="1" ht="49.5" hidden="1" customHeight="1" x14ac:dyDescent="0.25">
      <c r="B139" s="32" t="s">
        <v>1000</v>
      </c>
      <c r="C139" s="32" t="s">
        <v>1023</v>
      </c>
      <c r="D139" s="32">
        <v>0</v>
      </c>
      <c r="E139" s="32">
        <v>0</v>
      </c>
      <c r="F139" s="32">
        <v>0</v>
      </c>
      <c r="G139" s="32">
        <v>0</v>
      </c>
      <c r="H139" s="32">
        <v>0</v>
      </c>
      <c r="I139" s="32">
        <v>0</v>
      </c>
      <c r="J139" s="32">
        <v>0</v>
      </c>
      <c r="K139" s="32">
        <v>0</v>
      </c>
      <c r="L139" s="32">
        <v>0</v>
      </c>
      <c r="M139" s="32">
        <v>0</v>
      </c>
      <c r="N139" s="107">
        <f>'2 lentelė'!L134</f>
        <v>34226.199999999997</v>
      </c>
      <c r="O139" s="107">
        <f>'2 lentelė'!Q134</f>
        <v>25913.51</v>
      </c>
      <c r="P139" s="32">
        <v>0</v>
      </c>
      <c r="Q139" s="32">
        <v>0</v>
      </c>
      <c r="R139" s="32">
        <f t="shared" si="55"/>
        <v>34226.199999999997</v>
      </c>
      <c r="S139" s="32">
        <f t="shared" si="55"/>
        <v>25913.51</v>
      </c>
      <c r="T139" s="40"/>
      <c r="U139" s="40"/>
    </row>
    <row r="140" spans="2:25" s="7" customFormat="1" ht="78.75" hidden="1" customHeight="1" x14ac:dyDescent="0.25">
      <c r="B140" s="32" t="s">
        <v>1021</v>
      </c>
      <c r="C140" s="32" t="s">
        <v>1025</v>
      </c>
      <c r="D140" s="32">
        <v>0</v>
      </c>
      <c r="E140" s="32">
        <v>0</v>
      </c>
      <c r="F140" s="32">
        <v>0</v>
      </c>
      <c r="G140" s="32">
        <v>0</v>
      </c>
      <c r="H140" s="32">
        <v>0</v>
      </c>
      <c r="I140" s="32">
        <v>0</v>
      </c>
      <c r="J140" s="32">
        <v>0</v>
      </c>
      <c r="K140" s="32">
        <v>0</v>
      </c>
      <c r="L140" s="107">
        <f>'2 lentelė'!L135</f>
        <v>153580</v>
      </c>
      <c r="M140" s="107">
        <f>'2 lentelė'!Q135</f>
        <v>130543</v>
      </c>
      <c r="N140" s="32">
        <v>0</v>
      </c>
      <c r="O140" s="108">
        <v>0</v>
      </c>
      <c r="P140" s="32">
        <v>0</v>
      </c>
      <c r="Q140" s="32">
        <v>0</v>
      </c>
      <c r="R140" s="32">
        <f t="shared" si="55"/>
        <v>153580</v>
      </c>
      <c r="S140" s="32">
        <f t="shared" si="55"/>
        <v>130543</v>
      </c>
      <c r="T140" s="40"/>
      <c r="U140" s="40"/>
    </row>
    <row r="141" spans="2:25" s="7" customFormat="1" ht="59.25" hidden="1" customHeight="1" x14ac:dyDescent="0.25">
      <c r="B141" s="32" t="s">
        <v>1022</v>
      </c>
      <c r="C141" s="32" t="s">
        <v>1031</v>
      </c>
      <c r="D141" s="32">
        <v>0</v>
      </c>
      <c r="E141" s="32">
        <v>0</v>
      </c>
      <c r="F141" s="32">
        <v>0</v>
      </c>
      <c r="G141" s="32">
        <v>0</v>
      </c>
      <c r="H141" s="32">
        <v>0</v>
      </c>
      <c r="I141" s="32">
        <v>0</v>
      </c>
      <c r="J141" s="32">
        <v>0</v>
      </c>
      <c r="K141" s="32">
        <v>0</v>
      </c>
      <c r="L141" s="107">
        <f>'2 lentelė'!L136</f>
        <v>200000</v>
      </c>
      <c r="M141" s="107">
        <f>'2 lentelė'!Q136</f>
        <v>170000</v>
      </c>
      <c r="N141" s="32">
        <v>0</v>
      </c>
      <c r="O141" s="32">
        <v>0</v>
      </c>
      <c r="P141" s="32">
        <v>0</v>
      </c>
      <c r="Q141" s="32">
        <v>0</v>
      </c>
      <c r="R141" s="32">
        <f t="shared" ref="R141" si="56">L141+N141+P141</f>
        <v>200000</v>
      </c>
      <c r="S141" s="32">
        <f t="shared" ref="S141" si="57">M141+O141+Q141</f>
        <v>170000</v>
      </c>
      <c r="T141" s="40"/>
      <c r="U141" s="40"/>
    </row>
    <row r="142" spans="2:25" s="7" customFormat="1" ht="102" hidden="1" x14ac:dyDescent="0.25">
      <c r="B142" s="30" t="s">
        <v>368</v>
      </c>
      <c r="C142" s="30" t="s">
        <v>369</v>
      </c>
      <c r="D142" s="30">
        <f>SUM(D143:D148)</f>
        <v>0</v>
      </c>
      <c r="E142" s="30">
        <f t="shared" ref="E142:S142" si="58">SUM(E143:E148)</f>
        <v>0</v>
      </c>
      <c r="F142" s="30">
        <f t="shared" si="58"/>
        <v>0</v>
      </c>
      <c r="G142" s="30">
        <f t="shared" si="58"/>
        <v>0</v>
      </c>
      <c r="H142" s="30">
        <f t="shared" si="58"/>
        <v>0</v>
      </c>
      <c r="I142" s="30">
        <f t="shared" si="58"/>
        <v>0</v>
      </c>
      <c r="J142" s="30">
        <f t="shared" si="58"/>
        <v>0</v>
      </c>
      <c r="K142" s="30">
        <f t="shared" si="58"/>
        <v>0</v>
      </c>
      <c r="L142" s="30">
        <f>SUM(L143:L148)</f>
        <v>235901.57</v>
      </c>
      <c r="M142" s="30">
        <f t="shared" si="58"/>
        <v>35150.620000000003</v>
      </c>
      <c r="N142" s="30">
        <f t="shared" si="58"/>
        <v>0</v>
      </c>
      <c r="O142" s="30">
        <f t="shared" si="58"/>
        <v>0</v>
      </c>
      <c r="P142" s="30">
        <f t="shared" si="58"/>
        <v>0</v>
      </c>
      <c r="Q142" s="30">
        <f t="shared" si="58"/>
        <v>0</v>
      </c>
      <c r="R142" s="30">
        <f t="shared" si="58"/>
        <v>235901.57</v>
      </c>
      <c r="S142" s="30">
        <f t="shared" si="58"/>
        <v>35150.620000000003</v>
      </c>
      <c r="T142" s="40"/>
      <c r="U142" s="40"/>
    </row>
    <row r="143" spans="2:25" s="7" customFormat="1" ht="51" hidden="1" x14ac:dyDescent="0.25">
      <c r="B143" s="31" t="s">
        <v>370</v>
      </c>
      <c r="C143" s="32" t="s">
        <v>371</v>
      </c>
      <c r="D143" s="20">
        <v>0</v>
      </c>
      <c r="E143" s="20">
        <v>0</v>
      </c>
      <c r="F143" s="20">
        <v>0</v>
      </c>
      <c r="G143" s="15">
        <v>0</v>
      </c>
      <c r="H143" s="15">
        <v>0</v>
      </c>
      <c r="I143" s="15">
        <v>0</v>
      </c>
      <c r="J143" s="15">
        <v>0</v>
      </c>
      <c r="K143" s="15">
        <v>0</v>
      </c>
      <c r="L143" s="15">
        <f>'2 lentelė'!L138</f>
        <v>13180</v>
      </c>
      <c r="M143" s="15">
        <f>'2 lentelė'!Q138</f>
        <v>11202</v>
      </c>
      <c r="N143" s="15">
        <v>0</v>
      </c>
      <c r="O143" s="15">
        <v>0</v>
      </c>
      <c r="P143" s="15">
        <v>0</v>
      </c>
      <c r="Q143" s="15">
        <v>0</v>
      </c>
      <c r="R143" s="15">
        <f t="shared" ref="R143:S146" si="59">D143+F143+H143+J143+L143+N143+P143</f>
        <v>13180</v>
      </c>
      <c r="S143" s="15">
        <f t="shared" si="59"/>
        <v>11202</v>
      </c>
      <c r="T143" s="40"/>
      <c r="U143" s="40"/>
      <c r="V143" s="40"/>
      <c r="W143" s="6"/>
      <c r="X143" s="40"/>
      <c r="Y143" s="40"/>
    </row>
    <row r="144" spans="2:25" s="7" customFormat="1" ht="51" hidden="1" x14ac:dyDescent="0.25">
      <c r="B144" s="31" t="s">
        <v>372</v>
      </c>
      <c r="C144" s="32" t="s">
        <v>373</v>
      </c>
      <c r="D144" s="20">
        <v>0</v>
      </c>
      <c r="E144" s="20">
        <v>0</v>
      </c>
      <c r="F144" s="20">
        <v>0</v>
      </c>
      <c r="G144" s="15">
        <v>0</v>
      </c>
      <c r="H144" s="15">
        <v>0</v>
      </c>
      <c r="I144" s="15">
        <v>0</v>
      </c>
      <c r="J144" s="15">
        <v>0</v>
      </c>
      <c r="K144" s="15">
        <v>0</v>
      </c>
      <c r="L144" s="15">
        <f>'2 lentelė'!L139</f>
        <v>6134.9299999999994</v>
      </c>
      <c r="M144" s="15">
        <f>'2 lentelė'!Q139</f>
        <v>5214.6900000000005</v>
      </c>
      <c r="N144" s="15">
        <v>0</v>
      </c>
      <c r="O144" s="15">
        <v>0</v>
      </c>
      <c r="P144" s="15">
        <v>0</v>
      </c>
      <c r="Q144" s="15">
        <v>0</v>
      </c>
      <c r="R144" s="15">
        <f>D144+F144+H144+J144+L144+N144+P144</f>
        <v>6134.9299999999994</v>
      </c>
      <c r="S144" s="15">
        <f t="shared" si="59"/>
        <v>5214.6900000000005</v>
      </c>
      <c r="T144" s="40"/>
      <c r="U144" s="40"/>
      <c r="V144" s="40"/>
      <c r="W144" s="6"/>
      <c r="X144" s="40"/>
      <c r="Y144" s="40"/>
    </row>
    <row r="145" spans="2:25" s="7" customFormat="1" ht="63.75" hidden="1" x14ac:dyDescent="0.25">
      <c r="B145" s="31" t="s">
        <v>374</v>
      </c>
      <c r="C145" s="32" t="s">
        <v>375</v>
      </c>
      <c r="D145" s="20">
        <v>0</v>
      </c>
      <c r="E145" s="20">
        <v>0</v>
      </c>
      <c r="F145" s="20">
        <v>0</v>
      </c>
      <c r="G145" s="15">
        <v>0</v>
      </c>
      <c r="H145" s="15">
        <v>0</v>
      </c>
      <c r="I145" s="15">
        <v>0</v>
      </c>
      <c r="J145" s="15">
        <v>0</v>
      </c>
      <c r="K145" s="15">
        <v>0</v>
      </c>
      <c r="L145" s="15">
        <f>'2 lentelė'!L140</f>
        <v>7725.47</v>
      </c>
      <c r="M145" s="15">
        <f>'2 lentelė'!Q140</f>
        <v>6566.65</v>
      </c>
      <c r="N145" s="15">
        <v>0</v>
      </c>
      <c r="O145" s="15">
        <v>0</v>
      </c>
      <c r="P145" s="15">
        <v>0</v>
      </c>
      <c r="Q145" s="15">
        <v>0</v>
      </c>
      <c r="R145" s="15">
        <f t="shared" si="59"/>
        <v>7725.47</v>
      </c>
      <c r="S145" s="15">
        <f t="shared" si="59"/>
        <v>6566.65</v>
      </c>
      <c r="T145" s="40"/>
      <c r="U145" s="40"/>
      <c r="V145" s="40"/>
      <c r="W145" s="6"/>
      <c r="X145" s="40"/>
      <c r="Y145" s="40"/>
    </row>
    <row r="146" spans="2:25" s="7" customFormat="1" ht="102" hidden="1" x14ac:dyDescent="0.25">
      <c r="B146" s="31" t="s">
        <v>376</v>
      </c>
      <c r="C146" s="32" t="s">
        <v>377</v>
      </c>
      <c r="D146" s="20">
        <v>0</v>
      </c>
      <c r="E146" s="20">
        <v>0</v>
      </c>
      <c r="F146" s="20">
        <v>0</v>
      </c>
      <c r="G146" s="15">
        <v>0</v>
      </c>
      <c r="H146" s="15">
        <v>0</v>
      </c>
      <c r="I146" s="15">
        <v>0</v>
      </c>
      <c r="J146" s="15">
        <v>0</v>
      </c>
      <c r="K146" s="15">
        <v>0</v>
      </c>
      <c r="L146" s="15">
        <f>'2 lentelė'!L141</f>
        <v>200000</v>
      </c>
      <c r="M146" s="15">
        <f>'2 lentelė'!Q141</f>
        <v>4635.28</v>
      </c>
      <c r="N146" s="15">
        <v>0</v>
      </c>
      <c r="O146" s="15">
        <v>0</v>
      </c>
      <c r="P146" s="15">
        <v>0</v>
      </c>
      <c r="Q146" s="15">
        <v>0</v>
      </c>
      <c r="R146" s="15">
        <f t="shared" si="59"/>
        <v>200000</v>
      </c>
      <c r="S146" s="15">
        <f t="shared" si="59"/>
        <v>4635.28</v>
      </c>
      <c r="T146" s="40"/>
      <c r="U146" s="40"/>
      <c r="V146" s="40"/>
      <c r="W146" s="6"/>
      <c r="X146" s="40"/>
      <c r="Y146" s="40"/>
    </row>
    <row r="147" spans="2:25" s="7" customFormat="1" ht="63.75" hidden="1" x14ac:dyDescent="0.25">
      <c r="B147" s="31" t="s">
        <v>378</v>
      </c>
      <c r="C147" s="32" t="s">
        <v>379</v>
      </c>
      <c r="D147" s="20">
        <v>0</v>
      </c>
      <c r="E147" s="20">
        <v>0</v>
      </c>
      <c r="F147" s="20">
        <v>0</v>
      </c>
      <c r="G147" s="15">
        <v>0</v>
      </c>
      <c r="H147" s="15">
        <v>0</v>
      </c>
      <c r="I147" s="15">
        <v>0</v>
      </c>
      <c r="J147" s="15">
        <v>0</v>
      </c>
      <c r="K147" s="15">
        <v>0</v>
      </c>
      <c r="L147" s="15">
        <f>'2 lentelė'!L142</f>
        <v>2271.7600000000002</v>
      </c>
      <c r="M147" s="15">
        <f>'2 lentelė'!Q142</f>
        <v>1931</v>
      </c>
      <c r="N147" s="15">
        <v>0</v>
      </c>
      <c r="O147" s="15">
        <v>0</v>
      </c>
      <c r="P147" s="15">
        <v>0</v>
      </c>
      <c r="Q147" s="15">
        <v>0</v>
      </c>
      <c r="R147" s="15">
        <f>D147+F147+H147+J147+L147+N147+P147</f>
        <v>2271.7600000000002</v>
      </c>
      <c r="S147" s="15">
        <f>E147+G147+I147+K147+M147+O147+Q147</f>
        <v>1931</v>
      </c>
      <c r="T147" s="40"/>
      <c r="U147" s="40"/>
      <c r="V147" s="40"/>
      <c r="W147" s="6"/>
      <c r="X147" s="40"/>
      <c r="Y147" s="40"/>
    </row>
    <row r="148" spans="2:25" s="7" customFormat="1" ht="102" hidden="1" x14ac:dyDescent="0.25">
      <c r="B148" s="31" t="s">
        <v>380</v>
      </c>
      <c r="C148" s="32" t="s">
        <v>381</v>
      </c>
      <c r="D148" s="20">
        <v>0</v>
      </c>
      <c r="E148" s="20">
        <v>0</v>
      </c>
      <c r="F148" s="20">
        <v>0</v>
      </c>
      <c r="G148" s="15">
        <v>0</v>
      </c>
      <c r="H148" s="15">
        <v>0</v>
      </c>
      <c r="I148" s="15">
        <v>0</v>
      </c>
      <c r="J148" s="15">
        <v>0</v>
      </c>
      <c r="K148" s="15">
        <v>0</v>
      </c>
      <c r="L148" s="15">
        <f>'2 lentelė'!L143</f>
        <v>6589.41</v>
      </c>
      <c r="M148" s="15">
        <f>'2 lentelė'!Q143</f>
        <v>5601</v>
      </c>
      <c r="N148" s="15">
        <v>0</v>
      </c>
      <c r="O148" s="15">
        <v>0</v>
      </c>
      <c r="P148" s="15">
        <v>0</v>
      </c>
      <c r="Q148" s="15">
        <v>0</v>
      </c>
      <c r="R148" s="15">
        <v>6589.41</v>
      </c>
      <c r="S148" s="15">
        <v>5601</v>
      </c>
      <c r="T148" s="40"/>
      <c r="U148" s="40"/>
      <c r="V148" s="40"/>
      <c r="W148" s="6"/>
      <c r="X148" s="40"/>
      <c r="Y148" s="40"/>
    </row>
    <row r="149" spans="2:25" s="7" customFormat="1" ht="51" hidden="1" x14ac:dyDescent="0.25">
      <c r="B149" s="13" t="s">
        <v>382</v>
      </c>
      <c r="C149" s="28" t="s">
        <v>383</v>
      </c>
      <c r="D149" s="13">
        <f>D150</f>
        <v>0</v>
      </c>
      <c r="E149" s="13">
        <f t="shared" ref="E149:S149" si="60">E150</f>
        <v>0</v>
      </c>
      <c r="F149" s="13">
        <f t="shared" si="60"/>
        <v>0</v>
      </c>
      <c r="G149" s="28">
        <f t="shared" si="60"/>
        <v>0</v>
      </c>
      <c r="H149" s="13">
        <f t="shared" si="60"/>
        <v>0</v>
      </c>
      <c r="I149" s="13">
        <f t="shared" si="60"/>
        <v>0</v>
      </c>
      <c r="J149" s="13">
        <f t="shared" si="60"/>
        <v>0</v>
      </c>
      <c r="K149" s="28">
        <f t="shared" si="60"/>
        <v>0</v>
      </c>
      <c r="L149" s="13">
        <f t="shared" si="60"/>
        <v>994987.16999999993</v>
      </c>
      <c r="M149" s="13">
        <f t="shared" si="60"/>
        <v>845738</v>
      </c>
      <c r="N149" s="13">
        <f t="shared" si="60"/>
        <v>0</v>
      </c>
      <c r="O149" s="28">
        <f t="shared" si="60"/>
        <v>0</v>
      </c>
      <c r="P149" s="13">
        <f t="shared" si="60"/>
        <v>0</v>
      </c>
      <c r="Q149" s="13">
        <f t="shared" si="60"/>
        <v>0</v>
      </c>
      <c r="R149" s="13">
        <f t="shared" si="60"/>
        <v>994987.16999999993</v>
      </c>
      <c r="S149" s="28">
        <f t="shared" si="60"/>
        <v>845738</v>
      </c>
      <c r="T149" s="40"/>
      <c r="U149" s="40"/>
    </row>
    <row r="150" spans="2:25" s="7" customFormat="1" ht="38.25" hidden="1" x14ac:dyDescent="0.25">
      <c r="B150" s="30" t="s">
        <v>384</v>
      </c>
      <c r="C150" s="30" t="s">
        <v>385</v>
      </c>
      <c r="D150" s="30">
        <f t="shared" ref="D150:S150" si="61">D151+D152+D153+D154+D155+D156</f>
        <v>0</v>
      </c>
      <c r="E150" s="30">
        <f t="shared" si="61"/>
        <v>0</v>
      </c>
      <c r="F150" s="30">
        <f t="shared" si="61"/>
        <v>0</v>
      </c>
      <c r="G150" s="30">
        <f t="shared" si="61"/>
        <v>0</v>
      </c>
      <c r="H150" s="30">
        <f t="shared" si="61"/>
        <v>0</v>
      </c>
      <c r="I150" s="30">
        <f t="shared" si="61"/>
        <v>0</v>
      </c>
      <c r="J150" s="30">
        <f t="shared" si="61"/>
        <v>0</v>
      </c>
      <c r="K150" s="30">
        <f t="shared" si="61"/>
        <v>0</v>
      </c>
      <c r="L150" s="30">
        <f t="shared" si="61"/>
        <v>994987.16999999993</v>
      </c>
      <c r="M150" s="30">
        <f t="shared" si="61"/>
        <v>845738</v>
      </c>
      <c r="N150" s="30">
        <f t="shared" si="61"/>
        <v>0</v>
      </c>
      <c r="O150" s="30">
        <f t="shared" si="61"/>
        <v>0</v>
      </c>
      <c r="P150" s="30">
        <f t="shared" si="61"/>
        <v>0</v>
      </c>
      <c r="Q150" s="30">
        <f t="shared" si="61"/>
        <v>0</v>
      </c>
      <c r="R150" s="30">
        <f t="shared" si="61"/>
        <v>994987.16999999993</v>
      </c>
      <c r="S150" s="30">
        <f t="shared" si="61"/>
        <v>845738</v>
      </c>
      <c r="T150" s="40"/>
      <c r="U150" s="40"/>
    </row>
    <row r="151" spans="2:25" s="7" customFormat="1" ht="38.25" hidden="1" x14ac:dyDescent="0.25">
      <c r="B151" s="31" t="s">
        <v>386</v>
      </c>
      <c r="C151" s="32" t="s">
        <v>387</v>
      </c>
      <c r="D151" s="20">
        <v>0</v>
      </c>
      <c r="E151" s="20">
        <v>0</v>
      </c>
      <c r="F151" s="20">
        <v>0</v>
      </c>
      <c r="G151" s="15">
        <v>0</v>
      </c>
      <c r="H151" s="15">
        <v>0</v>
      </c>
      <c r="I151" s="15">
        <v>0</v>
      </c>
      <c r="J151" s="15">
        <v>0</v>
      </c>
      <c r="K151" s="15">
        <v>0</v>
      </c>
      <c r="L151" s="15">
        <f>'2 lentelė'!L146</f>
        <v>228530</v>
      </c>
      <c r="M151" s="15">
        <f>'2 lentelė'!Q146</f>
        <v>194250</v>
      </c>
      <c r="N151" s="15">
        <v>0</v>
      </c>
      <c r="O151" s="15">
        <v>0</v>
      </c>
      <c r="P151" s="15">
        <v>0</v>
      </c>
      <c r="Q151" s="15">
        <v>0</v>
      </c>
      <c r="R151" s="15">
        <f t="shared" ref="R151:S156" si="62">D151+F151+H151+J151+L151+N151+P151</f>
        <v>228530</v>
      </c>
      <c r="S151" s="15">
        <f t="shared" si="62"/>
        <v>194250</v>
      </c>
      <c r="T151" s="40"/>
      <c r="U151" s="40"/>
    </row>
    <row r="152" spans="2:25" s="7" customFormat="1" ht="38.25" hidden="1" x14ac:dyDescent="0.25">
      <c r="B152" s="31" t="s">
        <v>388</v>
      </c>
      <c r="C152" s="32" t="s">
        <v>389</v>
      </c>
      <c r="D152" s="20">
        <v>0</v>
      </c>
      <c r="E152" s="20">
        <v>0</v>
      </c>
      <c r="F152" s="20">
        <v>0</v>
      </c>
      <c r="G152" s="15">
        <v>0</v>
      </c>
      <c r="H152" s="15">
        <v>0</v>
      </c>
      <c r="I152" s="15">
        <v>0</v>
      </c>
      <c r="J152" s="15">
        <v>0</v>
      </c>
      <c r="K152" s="15">
        <v>0</v>
      </c>
      <c r="L152" s="15">
        <f>'2 lentelė'!L147</f>
        <v>207636</v>
      </c>
      <c r="M152" s="15">
        <f>'2 lentelė'!Q147</f>
        <v>176490</v>
      </c>
      <c r="N152" s="15">
        <v>0</v>
      </c>
      <c r="O152" s="15">
        <v>0</v>
      </c>
      <c r="P152" s="15">
        <v>0</v>
      </c>
      <c r="Q152" s="15">
        <v>0</v>
      </c>
      <c r="R152" s="15">
        <f t="shared" si="62"/>
        <v>207636</v>
      </c>
      <c r="S152" s="15">
        <f t="shared" si="62"/>
        <v>176490</v>
      </c>
      <c r="T152" s="40"/>
      <c r="U152" s="40"/>
    </row>
    <row r="153" spans="2:25" s="7" customFormat="1" ht="38.25" hidden="1" x14ac:dyDescent="0.25">
      <c r="B153" s="31" t="s">
        <v>390</v>
      </c>
      <c r="C153" s="32" t="s">
        <v>391</v>
      </c>
      <c r="D153" s="20">
        <v>0</v>
      </c>
      <c r="E153" s="20">
        <v>0</v>
      </c>
      <c r="F153" s="20">
        <v>0</v>
      </c>
      <c r="G153" s="15">
        <v>0</v>
      </c>
      <c r="H153" s="15">
        <v>0</v>
      </c>
      <c r="I153" s="15">
        <v>0</v>
      </c>
      <c r="J153" s="15">
        <v>0</v>
      </c>
      <c r="K153" s="15">
        <v>0</v>
      </c>
      <c r="L153" s="15">
        <f>'2 lentelė'!L148</f>
        <v>291784.71000000002</v>
      </c>
      <c r="M153" s="15">
        <f>'2 lentelė'!Q148</f>
        <v>248017</v>
      </c>
      <c r="N153" s="15">
        <v>0</v>
      </c>
      <c r="O153" s="15">
        <v>0</v>
      </c>
      <c r="P153" s="15">
        <v>0</v>
      </c>
      <c r="Q153" s="15">
        <v>0</v>
      </c>
      <c r="R153" s="15">
        <f t="shared" si="62"/>
        <v>291784.71000000002</v>
      </c>
      <c r="S153" s="15">
        <f t="shared" si="62"/>
        <v>248017</v>
      </c>
      <c r="T153" s="40"/>
      <c r="U153" s="40"/>
    </row>
    <row r="154" spans="2:25" s="7" customFormat="1" ht="38.25" hidden="1" x14ac:dyDescent="0.25">
      <c r="B154" s="31" t="s">
        <v>392</v>
      </c>
      <c r="C154" s="32" t="s">
        <v>393</v>
      </c>
      <c r="D154" s="20">
        <v>0</v>
      </c>
      <c r="E154" s="20">
        <v>0</v>
      </c>
      <c r="F154" s="20">
        <v>0</v>
      </c>
      <c r="G154" s="15">
        <v>0</v>
      </c>
      <c r="H154" s="15">
        <v>0</v>
      </c>
      <c r="I154" s="15">
        <v>0</v>
      </c>
      <c r="J154" s="15">
        <v>0</v>
      </c>
      <c r="K154" s="15">
        <v>0</v>
      </c>
      <c r="L154" s="15">
        <f>'2 lentelė'!L149</f>
        <v>165830.57999999999</v>
      </c>
      <c r="M154" s="15">
        <f>'2 lentelė'!Q149</f>
        <v>140956</v>
      </c>
      <c r="N154" s="15">
        <v>0</v>
      </c>
      <c r="O154" s="15">
        <v>0</v>
      </c>
      <c r="P154" s="15">
        <v>0</v>
      </c>
      <c r="Q154" s="15">
        <v>0</v>
      </c>
      <c r="R154" s="15">
        <f t="shared" si="62"/>
        <v>165830.57999999999</v>
      </c>
      <c r="S154" s="15">
        <f t="shared" si="62"/>
        <v>140956</v>
      </c>
      <c r="T154" s="40"/>
      <c r="U154" s="40"/>
    </row>
    <row r="155" spans="2:25" s="7" customFormat="1" ht="38.25" hidden="1" x14ac:dyDescent="0.25">
      <c r="B155" s="31" t="s">
        <v>394</v>
      </c>
      <c r="C155" s="32" t="s">
        <v>395</v>
      </c>
      <c r="D155" s="20">
        <v>0</v>
      </c>
      <c r="E155" s="20">
        <v>0</v>
      </c>
      <c r="F155" s="20">
        <v>0</v>
      </c>
      <c r="G155" s="15">
        <v>0</v>
      </c>
      <c r="H155" s="15">
        <v>0</v>
      </c>
      <c r="I155" s="15">
        <v>0</v>
      </c>
      <c r="J155" s="15">
        <v>0</v>
      </c>
      <c r="K155" s="15">
        <v>0</v>
      </c>
      <c r="L155" s="15">
        <f>'2 lentelė'!L150</f>
        <v>46794.12</v>
      </c>
      <c r="M155" s="15">
        <f>'2 lentelė'!Q150</f>
        <v>39775</v>
      </c>
      <c r="N155" s="15">
        <v>0</v>
      </c>
      <c r="O155" s="15">
        <v>0</v>
      </c>
      <c r="P155" s="15">
        <v>0</v>
      </c>
      <c r="Q155" s="15">
        <v>0</v>
      </c>
      <c r="R155" s="15">
        <f t="shared" si="62"/>
        <v>46794.12</v>
      </c>
      <c r="S155" s="15">
        <f t="shared" si="62"/>
        <v>39775</v>
      </c>
      <c r="T155" s="40"/>
      <c r="U155" s="40"/>
    </row>
    <row r="156" spans="2:25" s="7" customFormat="1" ht="36" hidden="1" customHeight="1" x14ac:dyDescent="0.25">
      <c r="B156" s="31" t="s">
        <v>396</v>
      </c>
      <c r="C156" s="32" t="s">
        <v>397</v>
      </c>
      <c r="D156" s="20">
        <v>0</v>
      </c>
      <c r="E156" s="20">
        <v>0</v>
      </c>
      <c r="F156" s="20">
        <v>0</v>
      </c>
      <c r="G156" s="15">
        <v>0</v>
      </c>
      <c r="H156" s="15">
        <v>0</v>
      </c>
      <c r="I156" s="15">
        <v>0</v>
      </c>
      <c r="J156" s="15">
        <v>0</v>
      </c>
      <c r="K156" s="15">
        <v>0</v>
      </c>
      <c r="L156" s="15">
        <f>'2 lentelė'!L151</f>
        <v>54411.76</v>
      </c>
      <c r="M156" s="15">
        <f>'2 lentelė'!Q151</f>
        <v>46250</v>
      </c>
      <c r="N156" s="15">
        <v>0</v>
      </c>
      <c r="O156" s="15">
        <v>0</v>
      </c>
      <c r="P156" s="15">
        <v>0</v>
      </c>
      <c r="Q156" s="15">
        <v>0</v>
      </c>
      <c r="R156" s="15">
        <f t="shared" si="62"/>
        <v>54411.76</v>
      </c>
      <c r="S156" s="15">
        <f t="shared" si="62"/>
        <v>46250</v>
      </c>
      <c r="T156" s="40"/>
      <c r="U156" s="40"/>
    </row>
    <row r="157" spans="2:25" s="7" customFormat="1" ht="76.5" hidden="1" x14ac:dyDescent="0.25">
      <c r="B157" s="13" t="s">
        <v>398</v>
      </c>
      <c r="C157" s="28" t="s">
        <v>399</v>
      </c>
      <c r="D157" s="13">
        <v>0</v>
      </c>
      <c r="E157" s="13">
        <v>0</v>
      </c>
      <c r="F157" s="13">
        <v>0</v>
      </c>
      <c r="G157" s="28">
        <v>0</v>
      </c>
      <c r="H157" s="13">
        <f t="shared" ref="H157:S157" si="63">H158+H163</f>
        <v>2153660.5</v>
      </c>
      <c r="I157" s="13">
        <f t="shared" si="63"/>
        <v>1830610.27</v>
      </c>
      <c r="J157" s="13">
        <f t="shared" si="63"/>
        <v>481967</v>
      </c>
      <c r="K157" s="28">
        <f t="shared" si="63"/>
        <v>409673</v>
      </c>
      <c r="L157" s="13">
        <f t="shared" si="63"/>
        <v>1243560.73</v>
      </c>
      <c r="M157" s="13">
        <f t="shared" si="63"/>
        <v>767493</v>
      </c>
      <c r="N157" s="13">
        <f t="shared" si="63"/>
        <v>0</v>
      </c>
      <c r="O157" s="28">
        <f t="shared" si="63"/>
        <v>0</v>
      </c>
      <c r="P157" s="13">
        <f t="shared" si="63"/>
        <v>0</v>
      </c>
      <c r="Q157" s="13">
        <f t="shared" si="63"/>
        <v>0</v>
      </c>
      <c r="R157" s="41">
        <f t="shared" si="63"/>
        <v>3879188.23</v>
      </c>
      <c r="S157" s="42">
        <f t="shared" si="63"/>
        <v>3007776.27</v>
      </c>
      <c r="T157" s="40"/>
      <c r="U157" s="40"/>
    </row>
    <row r="158" spans="2:25" s="7" customFormat="1" ht="38.25" hidden="1" x14ac:dyDescent="0.25">
      <c r="B158" s="30" t="s">
        <v>400</v>
      </c>
      <c r="C158" s="30" t="s">
        <v>401</v>
      </c>
      <c r="D158" s="30">
        <f>SUM(D159:D162)</f>
        <v>0</v>
      </c>
      <c r="E158" s="30">
        <f t="shared" ref="E158:S158" si="64">SUM(E159:E162)</f>
        <v>0</v>
      </c>
      <c r="F158" s="30">
        <f t="shared" si="64"/>
        <v>0</v>
      </c>
      <c r="G158" s="30">
        <f t="shared" si="64"/>
        <v>0</v>
      </c>
      <c r="H158" s="30">
        <f t="shared" si="64"/>
        <v>0</v>
      </c>
      <c r="I158" s="30">
        <f t="shared" si="64"/>
        <v>0</v>
      </c>
      <c r="J158" s="30">
        <f t="shared" si="64"/>
        <v>50888</v>
      </c>
      <c r="K158" s="30">
        <f t="shared" si="64"/>
        <v>43255</v>
      </c>
      <c r="L158" s="30">
        <f t="shared" si="64"/>
        <v>1243560.73</v>
      </c>
      <c r="M158" s="30">
        <f t="shared" si="64"/>
        <v>767493</v>
      </c>
      <c r="N158" s="30">
        <f t="shared" si="64"/>
        <v>0</v>
      </c>
      <c r="O158" s="30">
        <f t="shared" si="64"/>
        <v>0</v>
      </c>
      <c r="P158" s="30">
        <f t="shared" si="64"/>
        <v>0</v>
      </c>
      <c r="Q158" s="30">
        <f t="shared" si="64"/>
        <v>0</v>
      </c>
      <c r="R158" s="30">
        <f t="shared" si="64"/>
        <v>1294448.73</v>
      </c>
      <c r="S158" s="30">
        <f t="shared" si="64"/>
        <v>810748</v>
      </c>
      <c r="T158" s="40"/>
      <c r="U158" s="40"/>
    </row>
    <row r="159" spans="2:25" s="7" customFormat="1" ht="38.25" hidden="1" x14ac:dyDescent="0.25">
      <c r="B159" s="31" t="s">
        <v>402</v>
      </c>
      <c r="C159" s="32" t="s">
        <v>403</v>
      </c>
      <c r="D159" s="20">
        <v>0</v>
      </c>
      <c r="E159" s="20">
        <v>0</v>
      </c>
      <c r="F159" s="20">
        <v>0</v>
      </c>
      <c r="G159" s="15">
        <v>0</v>
      </c>
      <c r="H159" s="15">
        <v>0</v>
      </c>
      <c r="I159" s="15">
        <v>0</v>
      </c>
      <c r="J159" s="15">
        <v>0</v>
      </c>
      <c r="K159" s="15">
        <v>0</v>
      </c>
      <c r="L159" s="15">
        <f>'2 lentelė'!L154</f>
        <v>85183</v>
      </c>
      <c r="M159" s="15">
        <f>'2 lentelė'!Q154</f>
        <v>72405</v>
      </c>
      <c r="N159" s="15">
        <v>0</v>
      </c>
      <c r="O159" s="15">
        <v>0</v>
      </c>
      <c r="P159" s="15">
        <v>0</v>
      </c>
      <c r="Q159" s="15">
        <v>0</v>
      </c>
      <c r="R159" s="15">
        <f>H159+J159+L159+N159+P159</f>
        <v>85183</v>
      </c>
      <c r="S159" s="15">
        <f>I159+K159+M159+O159+Q159</f>
        <v>72405</v>
      </c>
      <c r="T159" s="40"/>
      <c r="U159" s="40"/>
    </row>
    <row r="160" spans="2:25" s="7" customFormat="1" ht="51" hidden="1" x14ac:dyDescent="0.25">
      <c r="B160" s="31" t="s">
        <v>404</v>
      </c>
      <c r="C160" s="32" t="s">
        <v>405</v>
      </c>
      <c r="D160" s="20">
        <v>0</v>
      </c>
      <c r="E160" s="20">
        <v>0</v>
      </c>
      <c r="F160" s="20">
        <v>0</v>
      </c>
      <c r="G160" s="15">
        <v>0</v>
      </c>
      <c r="H160" s="15">
        <v>0</v>
      </c>
      <c r="I160" s="15">
        <v>0</v>
      </c>
      <c r="J160" s="15">
        <v>0</v>
      </c>
      <c r="K160" s="15">
        <v>0</v>
      </c>
      <c r="L160" s="15">
        <f>'2 lentelė'!L155</f>
        <v>105700.73</v>
      </c>
      <c r="M160" s="15">
        <f>'2 lentelė'!Q155</f>
        <v>72405</v>
      </c>
      <c r="N160" s="15">
        <v>0</v>
      </c>
      <c r="O160" s="15">
        <v>0</v>
      </c>
      <c r="P160" s="15">
        <v>0</v>
      </c>
      <c r="Q160" s="15">
        <v>0</v>
      </c>
      <c r="R160" s="15">
        <f t="shared" ref="R160:R162" si="65">H160+J160+L160+N160+P160</f>
        <v>105700.73</v>
      </c>
      <c r="S160" s="15">
        <f t="shared" ref="S160:S162" si="66">I160+K160+M160+O160+Q160</f>
        <v>72405</v>
      </c>
      <c r="T160" s="40"/>
      <c r="U160" s="40"/>
    </row>
    <row r="161" spans="2:21" s="7" customFormat="1" ht="54.75" hidden="1" customHeight="1" x14ac:dyDescent="0.25">
      <c r="B161" s="31" t="s">
        <v>406</v>
      </c>
      <c r="C161" s="32" t="s">
        <v>407</v>
      </c>
      <c r="D161" s="20">
        <v>0</v>
      </c>
      <c r="E161" s="20">
        <v>0</v>
      </c>
      <c r="F161" s="20">
        <v>0</v>
      </c>
      <c r="G161" s="15">
        <v>0</v>
      </c>
      <c r="H161" s="15">
        <v>0</v>
      </c>
      <c r="I161" s="15">
        <v>0</v>
      </c>
      <c r="J161" s="15">
        <f>'2 lentelė'!L156</f>
        <v>50888</v>
      </c>
      <c r="K161" s="15">
        <f>'2 lentelė'!Q156</f>
        <v>43255</v>
      </c>
      <c r="L161" s="15">
        <v>0</v>
      </c>
      <c r="M161" s="15">
        <v>0</v>
      </c>
      <c r="N161" s="15">
        <v>0</v>
      </c>
      <c r="O161" s="15">
        <v>0</v>
      </c>
      <c r="P161" s="15">
        <v>0</v>
      </c>
      <c r="Q161" s="15">
        <v>0</v>
      </c>
      <c r="R161" s="15">
        <f t="shared" si="65"/>
        <v>50888</v>
      </c>
      <c r="S161" s="15">
        <f t="shared" si="66"/>
        <v>43255</v>
      </c>
      <c r="T161" s="40"/>
      <c r="U161" s="40"/>
    </row>
    <row r="162" spans="2:21" s="7" customFormat="1" ht="80.25" hidden="1" customHeight="1" x14ac:dyDescent="0.25">
      <c r="B162" s="31" t="s">
        <v>408</v>
      </c>
      <c r="C162" s="32" t="s">
        <v>409</v>
      </c>
      <c r="D162" s="20">
        <v>0</v>
      </c>
      <c r="E162" s="20">
        <v>0</v>
      </c>
      <c r="F162" s="20">
        <v>0</v>
      </c>
      <c r="G162" s="15">
        <v>0</v>
      </c>
      <c r="H162" s="15">
        <v>0</v>
      </c>
      <c r="I162" s="15">
        <v>0</v>
      </c>
      <c r="J162" s="15">
        <v>0</v>
      </c>
      <c r="K162" s="15">
        <v>0</v>
      </c>
      <c r="L162" s="15">
        <f>'2 lentelė'!L157</f>
        <v>1052677</v>
      </c>
      <c r="M162" s="15">
        <f>'2 lentelė'!Q157</f>
        <v>622683</v>
      </c>
      <c r="N162" s="15">
        <v>0</v>
      </c>
      <c r="O162" s="15">
        <v>0</v>
      </c>
      <c r="P162" s="15">
        <v>0</v>
      </c>
      <c r="Q162" s="15">
        <v>0</v>
      </c>
      <c r="R162" s="15">
        <f t="shared" si="65"/>
        <v>1052677</v>
      </c>
      <c r="S162" s="15">
        <f t="shared" si="66"/>
        <v>622683</v>
      </c>
      <c r="T162" s="40"/>
      <c r="U162" s="40"/>
    </row>
    <row r="163" spans="2:21" s="7" customFormat="1" ht="25.5" hidden="1" x14ac:dyDescent="0.25">
      <c r="B163" s="30" t="s">
        <v>410</v>
      </c>
      <c r="C163" s="30" t="s">
        <v>411</v>
      </c>
      <c r="D163" s="30">
        <v>0</v>
      </c>
      <c r="E163" s="30">
        <v>0</v>
      </c>
      <c r="F163" s="30">
        <v>0</v>
      </c>
      <c r="G163" s="30">
        <v>0</v>
      </c>
      <c r="H163" s="30">
        <f>SUM(H164:H169)</f>
        <v>2153660.5</v>
      </c>
      <c r="I163" s="30">
        <f t="shared" ref="I163:S163" si="67">SUM(I164:I169)</f>
        <v>1830610.27</v>
      </c>
      <c r="J163" s="30">
        <f>SUM(J164:J169)</f>
        <v>431079</v>
      </c>
      <c r="K163" s="30">
        <f t="shared" si="67"/>
        <v>366418</v>
      </c>
      <c r="L163" s="30">
        <f t="shared" si="67"/>
        <v>0</v>
      </c>
      <c r="M163" s="30">
        <f t="shared" si="67"/>
        <v>0</v>
      </c>
      <c r="N163" s="30">
        <f t="shared" si="67"/>
        <v>0</v>
      </c>
      <c r="O163" s="30">
        <f t="shared" si="67"/>
        <v>0</v>
      </c>
      <c r="P163" s="30">
        <f t="shared" si="67"/>
        <v>0</v>
      </c>
      <c r="Q163" s="30">
        <f t="shared" si="67"/>
        <v>0</v>
      </c>
      <c r="R163" s="30">
        <f>SUM(R164:R169)</f>
        <v>2584739.5</v>
      </c>
      <c r="S163" s="30">
        <f t="shared" si="67"/>
        <v>2197028.27</v>
      </c>
      <c r="T163" s="40"/>
      <c r="U163" s="40"/>
    </row>
    <row r="164" spans="2:21" s="7" customFormat="1" ht="89.25" hidden="1" x14ac:dyDescent="0.25">
      <c r="B164" s="31" t="s">
        <v>412</v>
      </c>
      <c r="C164" s="32" t="s">
        <v>413</v>
      </c>
      <c r="D164" s="20">
        <v>0</v>
      </c>
      <c r="E164" s="20">
        <v>0</v>
      </c>
      <c r="F164" s="20">
        <v>0</v>
      </c>
      <c r="G164" s="15">
        <v>0</v>
      </c>
      <c r="H164" s="15">
        <v>0</v>
      </c>
      <c r="I164" s="15">
        <v>0</v>
      </c>
      <c r="J164" s="15">
        <f>'2 lentelė'!L159</f>
        <v>431079</v>
      </c>
      <c r="K164" s="15">
        <f>'2 lentelė'!Q159</f>
        <v>366418</v>
      </c>
      <c r="L164" s="15">
        <v>0</v>
      </c>
      <c r="M164" s="15">
        <v>0</v>
      </c>
      <c r="N164" s="15">
        <v>0</v>
      </c>
      <c r="O164" s="15">
        <v>0</v>
      </c>
      <c r="P164" s="15">
        <v>0</v>
      </c>
      <c r="Q164" s="15">
        <v>0</v>
      </c>
      <c r="R164" s="15">
        <f t="shared" ref="R164:S169" si="68">D164+F164+H164+J164+L164+N164+P164</f>
        <v>431079</v>
      </c>
      <c r="S164" s="15">
        <f t="shared" si="68"/>
        <v>366418</v>
      </c>
      <c r="T164" s="40"/>
      <c r="U164" s="40"/>
    </row>
    <row r="165" spans="2:21" s="7" customFormat="1" ht="76.5" hidden="1" x14ac:dyDescent="0.25">
      <c r="B165" s="31" t="s">
        <v>414</v>
      </c>
      <c r="C165" s="32" t="s">
        <v>415</v>
      </c>
      <c r="D165" s="20">
        <v>0</v>
      </c>
      <c r="E165" s="20">
        <v>0</v>
      </c>
      <c r="F165" s="20">
        <v>0</v>
      </c>
      <c r="G165" s="15">
        <v>0</v>
      </c>
      <c r="H165" s="15">
        <f>'2 lentelė'!L160</f>
        <v>429341.5</v>
      </c>
      <c r="I165" s="15">
        <f>'2 lentelė'!Q160</f>
        <v>364940.27</v>
      </c>
      <c r="J165" s="15">
        <v>0</v>
      </c>
      <c r="K165" s="15">
        <v>0</v>
      </c>
      <c r="L165" s="15">
        <v>0</v>
      </c>
      <c r="M165" s="15">
        <v>0</v>
      </c>
      <c r="N165" s="15">
        <v>0</v>
      </c>
      <c r="O165" s="15">
        <v>0</v>
      </c>
      <c r="P165" s="15">
        <v>0</v>
      </c>
      <c r="Q165" s="15">
        <v>0</v>
      </c>
      <c r="R165" s="15">
        <f t="shared" si="68"/>
        <v>429341.5</v>
      </c>
      <c r="S165" s="15">
        <f t="shared" si="68"/>
        <v>364940.27</v>
      </c>
      <c r="T165" s="40"/>
      <c r="U165" s="40"/>
    </row>
    <row r="166" spans="2:21" s="7" customFormat="1" ht="38.25" hidden="1" x14ac:dyDescent="0.25">
      <c r="B166" s="31" t="s">
        <v>416</v>
      </c>
      <c r="C166" s="32" t="s">
        <v>417</v>
      </c>
      <c r="D166" s="20">
        <v>0</v>
      </c>
      <c r="E166" s="20">
        <v>0</v>
      </c>
      <c r="F166" s="20">
        <v>0</v>
      </c>
      <c r="G166" s="15">
        <v>0</v>
      </c>
      <c r="H166" s="15">
        <f>'2 lentelė'!L161</f>
        <v>301124</v>
      </c>
      <c r="I166" s="15">
        <f>'2 lentelė'!Q161</f>
        <v>255955</v>
      </c>
      <c r="J166" s="15">
        <v>0</v>
      </c>
      <c r="K166" s="15">
        <v>0</v>
      </c>
      <c r="L166" s="15">
        <v>0</v>
      </c>
      <c r="M166" s="15">
        <v>0</v>
      </c>
      <c r="N166" s="15">
        <v>0</v>
      </c>
      <c r="O166" s="15">
        <v>0</v>
      </c>
      <c r="P166" s="15">
        <v>0</v>
      </c>
      <c r="Q166" s="15">
        <v>0</v>
      </c>
      <c r="R166" s="15">
        <f t="shared" si="68"/>
        <v>301124</v>
      </c>
      <c r="S166" s="15">
        <f t="shared" si="68"/>
        <v>255955</v>
      </c>
      <c r="T166" s="40"/>
      <c r="U166" s="40"/>
    </row>
    <row r="167" spans="2:21" s="7" customFormat="1" ht="38.25" hidden="1" x14ac:dyDescent="0.25">
      <c r="B167" s="31" t="s">
        <v>418</v>
      </c>
      <c r="C167" s="32" t="s">
        <v>419</v>
      </c>
      <c r="D167" s="20">
        <v>0</v>
      </c>
      <c r="E167" s="20">
        <v>0</v>
      </c>
      <c r="F167" s="20">
        <v>0</v>
      </c>
      <c r="G167" s="15">
        <v>0</v>
      </c>
      <c r="H167" s="15">
        <f>'2 lentelė'!L162</f>
        <v>577160</v>
      </c>
      <c r="I167" s="15">
        <f>'2 lentelė'!Q162</f>
        <v>490585</v>
      </c>
      <c r="J167" s="15">
        <v>0</v>
      </c>
      <c r="K167" s="15">
        <v>0</v>
      </c>
      <c r="L167" s="15">
        <v>0</v>
      </c>
      <c r="M167" s="15">
        <v>0</v>
      </c>
      <c r="N167" s="15">
        <v>0</v>
      </c>
      <c r="O167" s="15">
        <v>0</v>
      </c>
      <c r="P167" s="15">
        <v>0</v>
      </c>
      <c r="Q167" s="15">
        <v>0</v>
      </c>
      <c r="R167" s="15">
        <f t="shared" si="68"/>
        <v>577160</v>
      </c>
      <c r="S167" s="15">
        <f t="shared" si="68"/>
        <v>490585</v>
      </c>
      <c r="T167" s="40"/>
      <c r="U167" s="40"/>
    </row>
    <row r="168" spans="2:21" s="7" customFormat="1" ht="38.25" hidden="1" x14ac:dyDescent="0.25">
      <c r="B168" s="31" t="s">
        <v>420</v>
      </c>
      <c r="C168" s="32" t="s">
        <v>421</v>
      </c>
      <c r="D168" s="20">
        <v>0</v>
      </c>
      <c r="E168" s="20">
        <v>0</v>
      </c>
      <c r="F168" s="20">
        <v>0</v>
      </c>
      <c r="G168" s="15">
        <v>0</v>
      </c>
      <c r="H168" s="15">
        <f>'2 lentelė'!L163</f>
        <v>347740</v>
      </c>
      <c r="I168" s="15">
        <f>'2 lentelė'!Q163</f>
        <v>295579</v>
      </c>
      <c r="J168" s="15">
        <v>0</v>
      </c>
      <c r="K168" s="15">
        <v>0</v>
      </c>
      <c r="L168" s="15">
        <v>0</v>
      </c>
      <c r="M168" s="15">
        <v>0</v>
      </c>
      <c r="N168" s="15">
        <v>0</v>
      </c>
      <c r="O168" s="15">
        <v>0</v>
      </c>
      <c r="P168" s="15">
        <v>0</v>
      </c>
      <c r="Q168" s="15">
        <v>0</v>
      </c>
      <c r="R168" s="15">
        <f t="shared" si="68"/>
        <v>347740</v>
      </c>
      <c r="S168" s="15">
        <f t="shared" si="68"/>
        <v>295579</v>
      </c>
      <c r="T168" s="40"/>
      <c r="U168" s="40"/>
    </row>
    <row r="169" spans="2:21" s="7" customFormat="1" ht="38.25" hidden="1" x14ac:dyDescent="0.25">
      <c r="B169" s="31" t="s">
        <v>422</v>
      </c>
      <c r="C169" s="32" t="s">
        <v>423</v>
      </c>
      <c r="D169" s="20">
        <v>0</v>
      </c>
      <c r="E169" s="20">
        <v>0</v>
      </c>
      <c r="F169" s="20">
        <v>0</v>
      </c>
      <c r="G169" s="15">
        <v>0</v>
      </c>
      <c r="H169" s="15">
        <f>'2 lentelė'!L164</f>
        <v>498295</v>
      </c>
      <c r="I169" s="15">
        <f>'2 lentelė'!Q164</f>
        <v>423551</v>
      </c>
      <c r="J169" s="15">
        <v>0</v>
      </c>
      <c r="K169" s="15">
        <v>0</v>
      </c>
      <c r="L169" s="15">
        <v>0</v>
      </c>
      <c r="M169" s="15">
        <v>0</v>
      </c>
      <c r="N169" s="15">
        <v>0</v>
      </c>
      <c r="O169" s="15">
        <v>0</v>
      </c>
      <c r="P169" s="15">
        <v>0</v>
      </c>
      <c r="Q169" s="15">
        <v>0</v>
      </c>
      <c r="R169" s="15">
        <f t="shared" si="68"/>
        <v>498295</v>
      </c>
      <c r="S169" s="15">
        <f t="shared" si="68"/>
        <v>423551</v>
      </c>
      <c r="T169" s="40"/>
      <c r="U169" s="40"/>
    </row>
    <row r="170" spans="2:21" s="7" customFormat="1" ht="38.25" hidden="1" x14ac:dyDescent="0.25">
      <c r="B170" s="13" t="s">
        <v>424</v>
      </c>
      <c r="C170" s="28" t="s">
        <v>425</v>
      </c>
      <c r="D170" s="13">
        <v>0</v>
      </c>
      <c r="E170" s="13">
        <v>0</v>
      </c>
      <c r="F170" s="28">
        <v>0</v>
      </c>
      <c r="G170" s="13">
        <v>0</v>
      </c>
      <c r="H170" s="13">
        <f>SUM(H171)</f>
        <v>0</v>
      </c>
      <c r="I170" s="28">
        <f t="shared" ref="I170:R170" si="69">SUM(I171)</f>
        <v>0</v>
      </c>
      <c r="J170" s="13">
        <f t="shared" si="69"/>
        <v>5439264.7999999998</v>
      </c>
      <c r="K170" s="13">
        <f t="shared" si="69"/>
        <v>4766853.1099999994</v>
      </c>
      <c r="L170" s="28">
        <f t="shared" si="69"/>
        <v>0</v>
      </c>
      <c r="M170" s="13">
        <f t="shared" si="69"/>
        <v>0</v>
      </c>
      <c r="N170" s="13">
        <f t="shared" si="69"/>
        <v>0</v>
      </c>
      <c r="O170" s="28">
        <f t="shared" si="69"/>
        <v>0</v>
      </c>
      <c r="P170" s="13">
        <f t="shared" si="69"/>
        <v>0</v>
      </c>
      <c r="Q170" s="13">
        <f t="shared" si="69"/>
        <v>0</v>
      </c>
      <c r="R170" s="28">
        <f t="shared" si="69"/>
        <v>5703187.6799999997</v>
      </c>
      <c r="S170" s="13">
        <f>S171</f>
        <v>4766853.1099999994</v>
      </c>
      <c r="T170" s="40"/>
      <c r="U170" s="40"/>
    </row>
    <row r="171" spans="2:21" s="7" customFormat="1" ht="38.25" hidden="1" x14ac:dyDescent="0.25">
      <c r="B171" s="30" t="s">
        <v>426</v>
      </c>
      <c r="C171" s="30" t="s">
        <v>427</v>
      </c>
      <c r="D171" s="30">
        <v>0</v>
      </c>
      <c r="E171" s="30">
        <v>0</v>
      </c>
      <c r="F171" s="30">
        <v>0</v>
      </c>
      <c r="G171" s="30">
        <v>0</v>
      </c>
      <c r="H171" s="30">
        <f t="shared" ref="H171:Q171" si="70">SUM(H172:H177)</f>
        <v>0</v>
      </c>
      <c r="I171" s="30">
        <f t="shared" si="70"/>
        <v>0</v>
      </c>
      <c r="J171" s="30">
        <f t="shared" si="70"/>
        <v>5439264.7999999998</v>
      </c>
      <c r="K171" s="30">
        <f t="shared" si="70"/>
        <v>4766853.1099999994</v>
      </c>
      <c r="L171" s="30">
        <f t="shared" si="70"/>
        <v>0</v>
      </c>
      <c r="M171" s="30">
        <f t="shared" si="70"/>
        <v>0</v>
      </c>
      <c r="N171" s="30">
        <f t="shared" si="70"/>
        <v>0</v>
      </c>
      <c r="O171" s="30">
        <f t="shared" si="70"/>
        <v>0</v>
      </c>
      <c r="P171" s="30">
        <f t="shared" si="70"/>
        <v>0</v>
      </c>
      <c r="Q171" s="30">
        <f t="shared" si="70"/>
        <v>0</v>
      </c>
      <c r="R171" s="30">
        <f>SUM(R172:R177)</f>
        <v>5703187.6799999997</v>
      </c>
      <c r="S171" s="30">
        <f>SUM(S172:S177)</f>
        <v>4766853.1099999994</v>
      </c>
      <c r="T171" s="40"/>
      <c r="U171" s="40"/>
    </row>
    <row r="172" spans="2:21" s="7" customFormat="1" ht="89.25" hidden="1" x14ac:dyDescent="0.25">
      <c r="B172" s="31" t="s">
        <v>428</v>
      </c>
      <c r="C172" s="32" t="s">
        <v>429</v>
      </c>
      <c r="D172" s="20">
        <v>0</v>
      </c>
      <c r="E172" s="20">
        <v>0</v>
      </c>
      <c r="F172" s="20">
        <v>0</v>
      </c>
      <c r="G172" s="15">
        <v>0</v>
      </c>
      <c r="H172" s="15">
        <v>0</v>
      </c>
      <c r="I172" s="15">
        <v>0</v>
      </c>
      <c r="J172" s="15">
        <f>'2 lentelė'!L167</f>
        <v>70588</v>
      </c>
      <c r="K172" s="15">
        <f>'2 lentelė'!Q167</f>
        <v>60000</v>
      </c>
      <c r="L172" s="15">
        <v>0</v>
      </c>
      <c r="M172" s="15">
        <v>0</v>
      </c>
      <c r="N172" s="15">
        <v>0</v>
      </c>
      <c r="O172" s="15">
        <v>0</v>
      </c>
      <c r="P172" s="15">
        <v>0</v>
      </c>
      <c r="Q172" s="15">
        <v>0</v>
      </c>
      <c r="R172" s="15">
        <f t="shared" ref="R172:S176" si="71">D172+F172+H172+J172+L172+N172+P172</f>
        <v>70588</v>
      </c>
      <c r="S172" s="15">
        <f t="shared" si="71"/>
        <v>60000</v>
      </c>
      <c r="T172" s="40"/>
      <c r="U172" s="40"/>
    </row>
    <row r="173" spans="2:21" s="7" customFormat="1" ht="39.75" hidden="1" customHeight="1" x14ac:dyDescent="0.25">
      <c r="B173" s="31" t="s">
        <v>430</v>
      </c>
      <c r="C173" s="32" t="s">
        <v>431</v>
      </c>
      <c r="D173" s="20">
        <v>0</v>
      </c>
      <c r="E173" s="20">
        <v>0</v>
      </c>
      <c r="F173" s="20">
        <v>0</v>
      </c>
      <c r="G173" s="15">
        <v>0</v>
      </c>
      <c r="H173" s="15">
        <v>0</v>
      </c>
      <c r="I173" s="15">
        <v>0</v>
      </c>
      <c r="J173" s="15">
        <f>'2 lentelė'!L168</f>
        <v>589242.17999999993</v>
      </c>
      <c r="K173" s="15">
        <f>'2 lentelė'!Q168</f>
        <v>420000</v>
      </c>
      <c r="L173" s="15">
        <v>0</v>
      </c>
      <c r="M173" s="15">
        <v>0</v>
      </c>
      <c r="N173" s="15">
        <v>0</v>
      </c>
      <c r="O173" s="15">
        <v>0</v>
      </c>
      <c r="P173" s="15">
        <v>0</v>
      </c>
      <c r="Q173" s="15">
        <v>0</v>
      </c>
      <c r="R173" s="15">
        <f t="shared" si="71"/>
        <v>589242.17999999993</v>
      </c>
      <c r="S173" s="15">
        <f t="shared" si="71"/>
        <v>420000</v>
      </c>
      <c r="T173" s="40"/>
      <c r="U173" s="40"/>
    </row>
    <row r="174" spans="2:21" s="7" customFormat="1" ht="63.75" hidden="1" x14ac:dyDescent="0.25">
      <c r="B174" s="31" t="s">
        <v>432</v>
      </c>
      <c r="C174" s="32" t="s">
        <v>433</v>
      </c>
      <c r="D174" s="20">
        <v>0</v>
      </c>
      <c r="E174" s="20">
        <v>0</v>
      </c>
      <c r="F174" s="20">
        <v>0</v>
      </c>
      <c r="G174" s="15">
        <v>0</v>
      </c>
      <c r="H174" s="15">
        <v>0</v>
      </c>
      <c r="I174" s="15">
        <v>0</v>
      </c>
      <c r="J174" s="39" t="str">
        <f>'2 lentelė'!L169</f>
        <v>263 922,88</v>
      </c>
      <c r="K174" s="15">
        <f>'2 lentelė'!Q169</f>
        <v>224334.44</v>
      </c>
      <c r="L174" s="15">
        <v>0</v>
      </c>
      <c r="M174" s="15">
        <v>0</v>
      </c>
      <c r="N174" s="15">
        <v>0</v>
      </c>
      <c r="O174" s="15">
        <v>0</v>
      </c>
      <c r="P174" s="15">
        <v>0</v>
      </c>
      <c r="Q174" s="15">
        <v>0</v>
      </c>
      <c r="R174" s="15">
        <v>263922.88</v>
      </c>
      <c r="S174" s="15">
        <v>224334.44</v>
      </c>
      <c r="T174" s="40"/>
      <c r="U174" s="40"/>
    </row>
    <row r="175" spans="2:21" s="7" customFormat="1" ht="114.75" hidden="1" x14ac:dyDescent="0.25">
      <c r="B175" s="31" t="s">
        <v>434</v>
      </c>
      <c r="C175" s="32" t="s">
        <v>435</v>
      </c>
      <c r="D175" s="20">
        <v>0</v>
      </c>
      <c r="E175" s="20">
        <v>0</v>
      </c>
      <c r="F175" s="20">
        <v>0</v>
      </c>
      <c r="G175" s="15">
        <v>0</v>
      </c>
      <c r="H175" s="15">
        <v>0</v>
      </c>
      <c r="I175" s="15">
        <v>0</v>
      </c>
      <c r="J175" s="15">
        <f>'2 lentelė'!L170</f>
        <v>749239.62</v>
      </c>
      <c r="K175" s="15">
        <f>'2 lentelė'!Q170</f>
        <v>636853.66999999993</v>
      </c>
      <c r="L175" s="15">
        <v>0</v>
      </c>
      <c r="M175" s="15">
        <v>0</v>
      </c>
      <c r="N175" s="15">
        <v>0</v>
      </c>
      <c r="O175" s="15">
        <v>0</v>
      </c>
      <c r="P175" s="15">
        <v>0</v>
      </c>
      <c r="Q175" s="15">
        <v>0</v>
      </c>
      <c r="R175" s="15">
        <f t="shared" si="71"/>
        <v>749239.62</v>
      </c>
      <c r="S175" s="15">
        <f t="shared" si="71"/>
        <v>636853.66999999993</v>
      </c>
      <c r="T175" s="40"/>
      <c r="U175" s="40"/>
    </row>
    <row r="176" spans="2:21" s="7" customFormat="1" ht="63.75" hidden="1" x14ac:dyDescent="0.25">
      <c r="B176" s="31" t="s">
        <v>436</v>
      </c>
      <c r="C176" s="32" t="s">
        <v>437</v>
      </c>
      <c r="D176" s="20">
        <v>0</v>
      </c>
      <c r="E176" s="20">
        <v>0</v>
      </c>
      <c r="F176" s="20">
        <v>0</v>
      </c>
      <c r="G176" s="15">
        <v>0</v>
      </c>
      <c r="H176" s="15">
        <v>0</v>
      </c>
      <c r="I176" s="15">
        <v>0</v>
      </c>
      <c r="J176" s="15">
        <f>'2 lentelė'!L171</f>
        <v>4000000</v>
      </c>
      <c r="K176" s="15">
        <f>'2 lentelė'!Q171</f>
        <v>3400000</v>
      </c>
      <c r="L176" s="15">
        <v>0</v>
      </c>
      <c r="M176" s="15">
        <v>0</v>
      </c>
      <c r="N176" s="15">
        <v>0</v>
      </c>
      <c r="O176" s="15">
        <v>0</v>
      </c>
      <c r="P176" s="15">
        <v>0</v>
      </c>
      <c r="Q176" s="15">
        <v>0</v>
      </c>
      <c r="R176" s="15">
        <f t="shared" si="71"/>
        <v>4000000</v>
      </c>
      <c r="S176" s="15">
        <f t="shared" si="71"/>
        <v>3400000</v>
      </c>
      <c r="T176" s="40"/>
      <c r="U176" s="40"/>
    </row>
    <row r="177" spans="2:21" s="7" customFormat="1" ht="51" hidden="1" x14ac:dyDescent="0.25">
      <c r="B177" s="31" t="s">
        <v>438</v>
      </c>
      <c r="C177" s="32" t="s">
        <v>439</v>
      </c>
      <c r="D177" s="20">
        <v>0</v>
      </c>
      <c r="E177" s="20">
        <v>0</v>
      </c>
      <c r="F177" s="20">
        <v>0</v>
      </c>
      <c r="G177" s="15">
        <v>0</v>
      </c>
      <c r="H177" s="15">
        <v>0</v>
      </c>
      <c r="I177" s="15">
        <v>0</v>
      </c>
      <c r="J177" s="15">
        <f>'2 lentelė'!L172</f>
        <v>30195</v>
      </c>
      <c r="K177" s="15">
        <f>'2 lentelė'!Q172</f>
        <v>25665</v>
      </c>
      <c r="L177" s="15">
        <v>0</v>
      </c>
      <c r="M177" s="15">
        <v>0</v>
      </c>
      <c r="N177" s="15">
        <v>0</v>
      </c>
      <c r="O177" s="15">
        <v>0</v>
      </c>
      <c r="P177" s="15">
        <v>0</v>
      </c>
      <c r="Q177" s="15">
        <v>0</v>
      </c>
      <c r="R177" s="15">
        <v>30195</v>
      </c>
      <c r="S177" s="15">
        <v>25665</v>
      </c>
      <c r="T177" s="40"/>
      <c r="U177" s="40"/>
    </row>
    <row r="178" spans="2:21" s="7" customFormat="1" ht="25.5" hidden="1" x14ac:dyDescent="0.25">
      <c r="B178" s="13" t="s">
        <v>440</v>
      </c>
      <c r="C178" s="28" t="s">
        <v>441</v>
      </c>
      <c r="D178" s="13">
        <v>0</v>
      </c>
      <c r="E178" s="13">
        <v>0</v>
      </c>
      <c r="F178" s="13">
        <v>0</v>
      </c>
      <c r="G178" s="28">
        <v>0</v>
      </c>
      <c r="H178" s="13">
        <f>SUM(H179)</f>
        <v>0</v>
      </c>
      <c r="I178" s="13">
        <f t="shared" ref="I178:R178" si="72">SUM(I179)</f>
        <v>0</v>
      </c>
      <c r="J178" s="13">
        <f t="shared" si="72"/>
        <v>412234</v>
      </c>
      <c r="K178" s="28">
        <f t="shared" si="72"/>
        <v>350398</v>
      </c>
      <c r="L178" s="13">
        <f t="shared" si="72"/>
        <v>637757.47</v>
      </c>
      <c r="M178" s="13">
        <f t="shared" si="72"/>
        <v>542093</v>
      </c>
      <c r="N178" s="13">
        <f t="shared" si="72"/>
        <v>70000</v>
      </c>
      <c r="O178" s="28">
        <f t="shared" si="72"/>
        <v>59500</v>
      </c>
      <c r="P178" s="13">
        <f t="shared" si="72"/>
        <v>0</v>
      </c>
      <c r="Q178" s="13">
        <f t="shared" si="72"/>
        <v>0</v>
      </c>
      <c r="R178" s="13">
        <f t="shared" si="72"/>
        <v>1119991.47</v>
      </c>
      <c r="S178" s="28">
        <f>S179</f>
        <v>951991</v>
      </c>
      <c r="T178" s="40"/>
      <c r="U178" s="40"/>
    </row>
    <row r="179" spans="2:21" s="7" customFormat="1" ht="51" hidden="1" x14ac:dyDescent="0.25">
      <c r="B179" s="30" t="s">
        <v>442</v>
      </c>
      <c r="C179" s="30" t="s">
        <v>443</v>
      </c>
      <c r="D179" s="30">
        <f t="shared" ref="D179:R179" si="73">SUM(D180:D186)</f>
        <v>0</v>
      </c>
      <c r="E179" s="30">
        <f t="shared" si="73"/>
        <v>0</v>
      </c>
      <c r="F179" s="30">
        <f t="shared" si="73"/>
        <v>0</v>
      </c>
      <c r="G179" s="30">
        <f t="shared" si="73"/>
        <v>0</v>
      </c>
      <c r="H179" s="30">
        <f t="shared" si="73"/>
        <v>0</v>
      </c>
      <c r="I179" s="30">
        <f t="shared" si="73"/>
        <v>0</v>
      </c>
      <c r="J179" s="30">
        <f t="shared" si="73"/>
        <v>412234</v>
      </c>
      <c r="K179" s="30">
        <f t="shared" si="73"/>
        <v>350398</v>
      </c>
      <c r="L179" s="30">
        <f t="shared" si="73"/>
        <v>637757.47</v>
      </c>
      <c r="M179" s="30">
        <f t="shared" si="73"/>
        <v>542093</v>
      </c>
      <c r="N179" s="30">
        <f t="shared" si="73"/>
        <v>70000</v>
      </c>
      <c r="O179" s="30">
        <f t="shared" si="73"/>
        <v>59500</v>
      </c>
      <c r="P179" s="30">
        <f t="shared" si="73"/>
        <v>0</v>
      </c>
      <c r="Q179" s="30">
        <f t="shared" si="73"/>
        <v>0</v>
      </c>
      <c r="R179" s="30">
        <f t="shared" si="73"/>
        <v>1119991.47</v>
      </c>
      <c r="S179" s="30">
        <f>SUM(S180:S186)</f>
        <v>951991</v>
      </c>
      <c r="T179" s="40"/>
      <c r="U179" s="40"/>
    </row>
    <row r="180" spans="2:21" s="7" customFormat="1" ht="51" hidden="1" x14ac:dyDescent="0.25">
      <c r="B180" s="31" t="s">
        <v>444</v>
      </c>
      <c r="C180" s="32" t="s">
        <v>445</v>
      </c>
      <c r="D180" s="20">
        <v>0</v>
      </c>
      <c r="E180" s="20">
        <v>0</v>
      </c>
      <c r="F180" s="20">
        <v>0</v>
      </c>
      <c r="G180" s="15">
        <v>0</v>
      </c>
      <c r="H180" s="15">
        <v>0</v>
      </c>
      <c r="I180" s="15">
        <v>0</v>
      </c>
      <c r="J180" s="15">
        <f>'2 lentelė'!L175</f>
        <v>188236</v>
      </c>
      <c r="K180" s="15">
        <f>'2 lentelė'!Q175</f>
        <v>160000</v>
      </c>
      <c r="L180" s="15">
        <v>0</v>
      </c>
      <c r="M180" s="15">
        <v>0</v>
      </c>
      <c r="N180" s="15">
        <v>0</v>
      </c>
      <c r="O180" s="15">
        <v>0</v>
      </c>
      <c r="P180" s="15">
        <v>0</v>
      </c>
      <c r="Q180" s="15">
        <v>0</v>
      </c>
      <c r="R180" s="15">
        <f t="shared" ref="R180:S185" si="74">D180+F180+H180+J180+L180+N180+P180</f>
        <v>188236</v>
      </c>
      <c r="S180" s="15">
        <f t="shared" si="74"/>
        <v>160000</v>
      </c>
      <c r="T180" s="40"/>
      <c r="U180" s="40"/>
    </row>
    <row r="181" spans="2:21" s="7" customFormat="1" ht="51" hidden="1" x14ac:dyDescent="0.25">
      <c r="B181" s="31" t="s">
        <v>446</v>
      </c>
      <c r="C181" s="32" t="s">
        <v>447</v>
      </c>
      <c r="D181" s="20">
        <v>0</v>
      </c>
      <c r="E181" s="20">
        <v>0</v>
      </c>
      <c r="F181" s="20">
        <v>0</v>
      </c>
      <c r="G181" s="15">
        <v>0</v>
      </c>
      <c r="H181" s="15">
        <v>0</v>
      </c>
      <c r="I181" s="15">
        <v>0</v>
      </c>
      <c r="J181" s="15">
        <v>0</v>
      </c>
      <c r="K181" s="15">
        <v>0</v>
      </c>
      <c r="L181" s="15">
        <f>'2 lentelė'!L176</f>
        <v>186665</v>
      </c>
      <c r="M181" s="15">
        <f>'2 lentelė'!Q176</f>
        <v>158665</v>
      </c>
      <c r="N181" s="15">
        <v>0</v>
      </c>
      <c r="O181" s="15">
        <v>0</v>
      </c>
      <c r="P181" s="15">
        <v>0</v>
      </c>
      <c r="Q181" s="15">
        <v>0</v>
      </c>
      <c r="R181" s="15">
        <f t="shared" si="74"/>
        <v>186665</v>
      </c>
      <c r="S181" s="15">
        <f t="shared" si="74"/>
        <v>158665</v>
      </c>
      <c r="T181" s="40"/>
      <c r="U181" s="40"/>
    </row>
    <row r="182" spans="2:21" s="7" customFormat="1" ht="51" hidden="1" x14ac:dyDescent="0.25">
      <c r="B182" s="31" t="s">
        <v>448</v>
      </c>
      <c r="C182" s="32" t="s">
        <v>449</v>
      </c>
      <c r="D182" s="20">
        <v>0</v>
      </c>
      <c r="E182" s="20">
        <v>0</v>
      </c>
      <c r="F182" s="20">
        <v>0</v>
      </c>
      <c r="G182" s="15">
        <v>0</v>
      </c>
      <c r="H182" s="15">
        <v>0</v>
      </c>
      <c r="I182" s="15">
        <v>0</v>
      </c>
      <c r="J182" s="15">
        <f>'2 lentelė'!L177</f>
        <v>223998</v>
      </c>
      <c r="K182" s="15">
        <f>'2 lentelė'!Q177</f>
        <v>190398</v>
      </c>
      <c r="L182" s="15">
        <v>0</v>
      </c>
      <c r="M182" s="15">
        <v>0</v>
      </c>
      <c r="N182" s="15">
        <v>0</v>
      </c>
      <c r="O182" s="15">
        <v>0</v>
      </c>
      <c r="P182" s="15">
        <v>0</v>
      </c>
      <c r="Q182" s="15">
        <v>0</v>
      </c>
      <c r="R182" s="15">
        <f t="shared" si="74"/>
        <v>223998</v>
      </c>
      <c r="S182" s="15">
        <f t="shared" si="74"/>
        <v>190398</v>
      </c>
      <c r="T182" s="40"/>
      <c r="U182" s="40"/>
    </row>
    <row r="183" spans="2:21" s="7" customFormat="1" ht="63.75" hidden="1" x14ac:dyDescent="0.25">
      <c r="B183" s="31" t="s">
        <v>450</v>
      </c>
      <c r="C183" s="32" t="s">
        <v>451</v>
      </c>
      <c r="D183" s="20">
        <v>0</v>
      </c>
      <c r="E183" s="20">
        <v>0</v>
      </c>
      <c r="F183" s="20">
        <v>0</v>
      </c>
      <c r="G183" s="15">
        <v>0</v>
      </c>
      <c r="H183" s="15">
        <v>0</v>
      </c>
      <c r="I183" s="15">
        <v>0</v>
      </c>
      <c r="J183" s="15">
        <v>0</v>
      </c>
      <c r="K183" s="15">
        <v>0</v>
      </c>
      <c r="L183" s="15">
        <f>'2 lentelė'!L178</f>
        <v>116665</v>
      </c>
      <c r="M183" s="15">
        <f>'2 lentelė'!Q178</f>
        <v>99165</v>
      </c>
      <c r="N183" s="15">
        <v>0</v>
      </c>
      <c r="O183" s="15">
        <v>0</v>
      </c>
      <c r="P183" s="15">
        <v>0</v>
      </c>
      <c r="Q183" s="15">
        <v>0</v>
      </c>
      <c r="R183" s="15">
        <f t="shared" si="74"/>
        <v>116665</v>
      </c>
      <c r="S183" s="15">
        <f t="shared" si="74"/>
        <v>99165</v>
      </c>
      <c r="T183" s="40"/>
      <c r="U183" s="40"/>
    </row>
    <row r="184" spans="2:21" s="7" customFormat="1" ht="51" hidden="1" x14ac:dyDescent="0.25">
      <c r="B184" s="31" t="s">
        <v>452</v>
      </c>
      <c r="C184" s="32" t="s">
        <v>453</v>
      </c>
      <c r="D184" s="20">
        <v>0</v>
      </c>
      <c r="E184" s="20">
        <v>0</v>
      </c>
      <c r="F184" s="20">
        <v>0</v>
      </c>
      <c r="G184" s="15">
        <v>0</v>
      </c>
      <c r="H184" s="15">
        <v>0</v>
      </c>
      <c r="I184" s="15">
        <v>0</v>
      </c>
      <c r="J184" s="15">
        <v>0</v>
      </c>
      <c r="K184" s="15">
        <v>0</v>
      </c>
      <c r="L184" s="15">
        <f>'2 lentelė'!L179</f>
        <v>176471</v>
      </c>
      <c r="M184" s="15">
        <f>'2 lentelė'!Q179</f>
        <v>150000</v>
      </c>
      <c r="N184" s="15">
        <v>0</v>
      </c>
      <c r="O184" s="15">
        <v>0</v>
      </c>
      <c r="P184" s="15">
        <v>0</v>
      </c>
      <c r="Q184" s="15">
        <v>0</v>
      </c>
      <c r="R184" s="15">
        <f t="shared" si="74"/>
        <v>176471</v>
      </c>
      <c r="S184" s="15">
        <f t="shared" si="74"/>
        <v>150000</v>
      </c>
      <c r="T184" s="40"/>
      <c r="U184" s="40"/>
    </row>
    <row r="185" spans="2:21" s="7" customFormat="1" ht="51" hidden="1" x14ac:dyDescent="0.25">
      <c r="B185" s="31" t="s">
        <v>454</v>
      </c>
      <c r="C185" s="32" t="s">
        <v>455</v>
      </c>
      <c r="D185" s="20">
        <v>0</v>
      </c>
      <c r="E185" s="20">
        <v>0</v>
      </c>
      <c r="F185" s="20">
        <v>0</v>
      </c>
      <c r="G185" s="15">
        <v>0</v>
      </c>
      <c r="H185" s="15">
        <v>0</v>
      </c>
      <c r="I185" s="15">
        <v>0</v>
      </c>
      <c r="J185" s="15">
        <v>0</v>
      </c>
      <c r="K185" s="15">
        <v>0</v>
      </c>
      <c r="L185" s="15">
        <f>'2 lentelė'!L180</f>
        <v>157956.47</v>
      </c>
      <c r="M185" s="15">
        <f>'2 lentelė'!Q180</f>
        <v>134263</v>
      </c>
      <c r="N185" s="15">
        <v>0</v>
      </c>
      <c r="O185" s="15">
        <v>0</v>
      </c>
      <c r="P185" s="15">
        <v>0</v>
      </c>
      <c r="Q185" s="15">
        <v>0</v>
      </c>
      <c r="R185" s="15">
        <f t="shared" si="74"/>
        <v>157956.47</v>
      </c>
      <c r="S185" s="15">
        <f t="shared" si="74"/>
        <v>134263</v>
      </c>
      <c r="T185" s="40"/>
      <c r="U185" s="40"/>
    </row>
    <row r="186" spans="2:21" ht="63.75" hidden="1" x14ac:dyDescent="0.25">
      <c r="B186" s="31" t="s">
        <v>456</v>
      </c>
      <c r="C186" s="32" t="s">
        <v>457</v>
      </c>
      <c r="D186" s="20">
        <v>0</v>
      </c>
      <c r="E186" s="20">
        <v>0</v>
      </c>
      <c r="F186" s="20">
        <v>0</v>
      </c>
      <c r="G186" s="15">
        <v>0</v>
      </c>
      <c r="H186" s="15">
        <v>0</v>
      </c>
      <c r="I186" s="15">
        <v>0</v>
      </c>
      <c r="J186" s="15">
        <v>0</v>
      </c>
      <c r="K186" s="15">
        <v>0</v>
      </c>
      <c r="L186" s="15">
        <v>0</v>
      </c>
      <c r="M186" s="15">
        <v>0</v>
      </c>
      <c r="N186" s="15">
        <f>'2 lentelė'!L181</f>
        <v>70000</v>
      </c>
      <c r="O186" s="15">
        <f>'2 lentelė'!Q181</f>
        <v>59500</v>
      </c>
      <c r="P186" s="15">
        <v>0</v>
      </c>
      <c r="Q186" s="15">
        <v>0</v>
      </c>
      <c r="R186" s="15">
        <v>70000</v>
      </c>
      <c r="S186" s="15">
        <v>59500</v>
      </c>
      <c r="T186" t="s">
        <v>299</v>
      </c>
    </row>
    <row r="187" spans="2:21" ht="15.75" customHeight="1" x14ac:dyDescent="0.25">
      <c r="B187" s="9"/>
      <c r="C187" s="9"/>
      <c r="D187" s="150" t="s">
        <v>23</v>
      </c>
      <c r="E187" s="151"/>
      <c r="F187" s="152"/>
      <c r="G187" s="9"/>
      <c r="H187" s="9"/>
      <c r="I187" s="9"/>
      <c r="J187" s="9"/>
      <c r="K187" s="9"/>
      <c r="L187" s="9"/>
      <c r="M187" s="9"/>
      <c r="N187" s="9"/>
      <c r="O187" s="9"/>
      <c r="P187" s="9"/>
      <c r="Q187" s="9"/>
      <c r="R187" s="9"/>
      <c r="S187" s="9"/>
    </row>
    <row r="188" spans="2:21" ht="38.25" customHeight="1" x14ac:dyDescent="0.25">
      <c r="B188" s="9"/>
      <c r="C188" s="9"/>
      <c r="D188" s="153">
        <v>2014</v>
      </c>
      <c r="E188" s="154"/>
      <c r="F188" s="153">
        <v>2015</v>
      </c>
      <c r="G188" s="154"/>
      <c r="H188" s="153">
        <v>2016</v>
      </c>
      <c r="I188" s="154"/>
      <c r="J188" s="153">
        <v>2017</v>
      </c>
      <c r="K188" s="154"/>
      <c r="L188" s="153">
        <v>2018</v>
      </c>
      <c r="M188" s="154"/>
      <c r="N188" s="153">
        <v>2019</v>
      </c>
      <c r="O188" s="154"/>
      <c r="P188" s="153">
        <v>2020</v>
      </c>
      <c r="Q188" s="154"/>
      <c r="R188" s="143" t="s">
        <v>9</v>
      </c>
      <c r="S188" s="144"/>
    </row>
    <row r="189" spans="2:21" ht="15.75" x14ac:dyDescent="0.25">
      <c r="B189" s="9"/>
      <c r="C189" s="9"/>
      <c r="D189" s="11" t="s">
        <v>12</v>
      </c>
      <c r="E189" s="11" t="s">
        <v>13</v>
      </c>
      <c r="F189" s="11" t="s">
        <v>12</v>
      </c>
      <c r="G189" s="11" t="s">
        <v>13</v>
      </c>
      <c r="H189" s="11" t="s">
        <v>12</v>
      </c>
      <c r="I189" s="11" t="s">
        <v>13</v>
      </c>
      <c r="J189" s="11" t="s">
        <v>12</v>
      </c>
      <c r="K189" s="11" t="s">
        <v>13</v>
      </c>
      <c r="L189" s="11" t="s">
        <v>12</v>
      </c>
      <c r="M189" s="11" t="s">
        <v>13</v>
      </c>
      <c r="N189" s="11" t="s">
        <v>12</v>
      </c>
      <c r="O189" s="11" t="s">
        <v>13</v>
      </c>
      <c r="P189" s="11" t="s">
        <v>12</v>
      </c>
      <c r="Q189" s="11" t="s">
        <v>13</v>
      </c>
      <c r="R189" s="11" t="s">
        <v>12</v>
      </c>
      <c r="S189" s="11" t="s">
        <v>13</v>
      </c>
    </row>
    <row r="190" spans="2:21" ht="15.75" x14ac:dyDescent="0.25">
      <c r="B190" s="9"/>
      <c r="C190" s="9"/>
      <c r="D190" s="20">
        <f t="shared" ref="D190:S190" si="75">D10+D65+D117</f>
        <v>0</v>
      </c>
      <c r="E190" s="20">
        <f t="shared" si="75"/>
        <v>0</v>
      </c>
      <c r="F190" s="20">
        <f t="shared" si="75"/>
        <v>0</v>
      </c>
      <c r="G190" s="20">
        <f t="shared" si="75"/>
        <v>0</v>
      </c>
      <c r="H190" s="78">
        <f t="shared" si="75"/>
        <v>16943965.66</v>
      </c>
      <c r="I190" s="78">
        <f t="shared" si="75"/>
        <v>11182039.239999998</v>
      </c>
      <c r="J190" s="78">
        <f t="shared" si="75"/>
        <v>27654532.330000002</v>
      </c>
      <c r="K190" s="78">
        <f t="shared" si="75"/>
        <v>23880166.16</v>
      </c>
      <c r="L190" s="78">
        <f t="shared" si="75"/>
        <v>15485050.26</v>
      </c>
      <c r="M190" s="78">
        <f t="shared" si="75"/>
        <v>11887099.75</v>
      </c>
      <c r="N190" s="78">
        <f t="shared" si="75"/>
        <v>7157433.1199999992</v>
      </c>
      <c r="O190" s="78">
        <f t="shared" si="75"/>
        <v>4910977.6399999997</v>
      </c>
      <c r="P190" s="78">
        <f t="shared" si="75"/>
        <v>0</v>
      </c>
      <c r="Q190" s="78">
        <f t="shared" si="75"/>
        <v>0</v>
      </c>
      <c r="R190" s="78">
        <f t="shared" si="75"/>
        <v>68230906.25</v>
      </c>
      <c r="S190" s="78">
        <f t="shared" si="75"/>
        <v>51860282.790000007</v>
      </c>
    </row>
    <row r="191" spans="2:21" ht="15.75" x14ac:dyDescent="0.25">
      <c r="B191" s="1"/>
      <c r="D191" s="7"/>
      <c r="E191" s="7"/>
      <c r="F191" s="7"/>
      <c r="G191" s="7"/>
      <c r="H191" s="7"/>
      <c r="I191" s="7"/>
      <c r="J191" s="7"/>
      <c r="K191" s="7"/>
      <c r="L191" s="7"/>
      <c r="M191" s="7"/>
      <c r="N191" s="7"/>
      <c r="O191" s="7"/>
      <c r="P191" s="7"/>
      <c r="Q191" s="7"/>
      <c r="R191" s="7"/>
      <c r="S191" s="7"/>
    </row>
    <row r="192" spans="2:21" x14ac:dyDescent="0.25">
      <c r="E192" s="7"/>
      <c r="F192" s="7"/>
      <c r="G192" s="7"/>
      <c r="H192" s="7"/>
      <c r="I192" s="7"/>
      <c r="J192" s="7"/>
      <c r="K192" s="7"/>
      <c r="L192" s="7"/>
      <c r="M192" s="7"/>
      <c r="N192" s="7"/>
      <c r="O192" s="7"/>
      <c r="P192" s="7"/>
      <c r="Q192" s="7"/>
      <c r="R192" s="7"/>
      <c r="S192" s="7"/>
    </row>
    <row r="193" spans="2:19" ht="15.75" x14ac:dyDescent="0.25">
      <c r="B193" s="1"/>
      <c r="D193" s="7"/>
      <c r="E193" s="7"/>
      <c r="F193" s="7"/>
      <c r="G193" s="7"/>
      <c r="H193" s="7"/>
      <c r="I193" s="7"/>
      <c r="J193" s="7"/>
      <c r="K193" s="7"/>
      <c r="L193" s="7"/>
      <c r="M193" s="7"/>
      <c r="N193" s="7"/>
      <c r="O193" s="7"/>
      <c r="P193" s="7"/>
      <c r="Q193" s="7"/>
      <c r="R193" s="7"/>
      <c r="S193" s="7"/>
    </row>
    <row r="194" spans="2:19" ht="15.75" x14ac:dyDescent="0.25">
      <c r="B194" s="5"/>
      <c r="C194" s="5"/>
      <c r="D194" s="5"/>
      <c r="E194" s="6"/>
      <c r="F194" s="6"/>
      <c r="G194" s="5"/>
    </row>
    <row r="195" spans="2:19" ht="15.75" x14ac:dyDescent="0.25">
      <c r="B195" s="5"/>
      <c r="C195" s="5"/>
      <c r="D195" s="5"/>
      <c r="E195" s="6"/>
      <c r="F195" s="6"/>
      <c r="G195" s="5"/>
    </row>
    <row r="196" spans="2:19" ht="15.75" x14ac:dyDescent="0.25">
      <c r="B196" s="5"/>
      <c r="C196" s="5"/>
      <c r="D196" s="5"/>
      <c r="E196" s="6"/>
      <c r="F196" s="6"/>
      <c r="G196" s="5"/>
    </row>
    <row r="197" spans="2:19" ht="15.75" x14ac:dyDescent="0.25">
      <c r="B197" s="5"/>
      <c r="C197" s="5"/>
      <c r="D197" s="5"/>
      <c r="E197" s="6"/>
      <c r="F197" s="6"/>
      <c r="G197" s="5"/>
    </row>
    <row r="198" spans="2:19" ht="15.75" x14ac:dyDescent="0.25">
      <c r="B198" s="5"/>
      <c r="C198" s="5"/>
      <c r="D198" s="5"/>
      <c r="E198" s="6"/>
      <c r="F198" s="6"/>
      <c r="G198" s="5"/>
    </row>
    <row r="199" spans="2:19" ht="15.75" x14ac:dyDescent="0.25">
      <c r="B199" s="5"/>
      <c r="C199" s="5"/>
      <c r="D199" s="5"/>
      <c r="E199" s="6"/>
      <c r="F199" s="6"/>
      <c r="G199" s="5"/>
    </row>
    <row r="200" spans="2:19" ht="15.75" x14ac:dyDescent="0.25">
      <c r="B200" s="5"/>
      <c r="C200" s="5"/>
      <c r="D200" s="5"/>
      <c r="E200" s="6"/>
      <c r="F200" s="6"/>
      <c r="G200" s="5"/>
    </row>
    <row r="201" spans="2:19" ht="15.75" x14ac:dyDescent="0.25">
      <c r="B201" s="5"/>
      <c r="C201" s="5"/>
      <c r="D201" s="5"/>
      <c r="E201" s="6"/>
      <c r="F201" s="6"/>
      <c r="G201" s="5"/>
    </row>
    <row r="202" spans="2:19" ht="15.75" x14ac:dyDescent="0.25">
      <c r="B202" s="5"/>
      <c r="C202" s="5"/>
      <c r="D202" s="5"/>
      <c r="E202" s="6"/>
      <c r="F202" s="6"/>
      <c r="G202" s="5"/>
    </row>
    <row r="203" spans="2:19" ht="15.75" x14ac:dyDescent="0.25">
      <c r="B203" s="5"/>
      <c r="C203" s="5"/>
      <c r="D203" s="5"/>
      <c r="E203" s="6"/>
      <c r="F203" s="6"/>
      <c r="G203" s="5"/>
    </row>
    <row r="204" spans="2:19" ht="15.75" x14ac:dyDescent="0.25">
      <c r="B204" s="5"/>
      <c r="C204" s="5"/>
      <c r="D204" s="5"/>
      <c r="E204" s="6"/>
      <c r="F204" s="6"/>
      <c r="G204" s="5"/>
    </row>
    <row r="205" spans="2:19" ht="15.75" x14ac:dyDescent="0.25">
      <c r="B205" s="5"/>
      <c r="C205" s="5"/>
      <c r="D205" s="5"/>
      <c r="E205" s="6"/>
      <c r="F205" s="6"/>
      <c r="G205" s="5"/>
    </row>
    <row r="206" spans="2:19" ht="15.75" x14ac:dyDescent="0.25">
      <c r="B206" s="5"/>
      <c r="C206" s="5"/>
      <c r="D206" s="5"/>
      <c r="E206" s="6"/>
      <c r="F206" s="6"/>
      <c r="G206" s="5"/>
    </row>
    <row r="207" spans="2:19" ht="15.75" x14ac:dyDescent="0.25">
      <c r="B207" s="5"/>
      <c r="C207" s="5"/>
      <c r="D207" s="5"/>
      <c r="E207" s="6"/>
      <c r="F207" s="6"/>
      <c r="G207" s="5"/>
    </row>
    <row r="208" spans="2:19" ht="15.75" x14ac:dyDescent="0.25">
      <c r="B208" s="5"/>
      <c r="C208" s="5"/>
      <c r="D208" s="5"/>
      <c r="E208" s="6"/>
      <c r="F208" s="6"/>
      <c r="G208" s="5"/>
    </row>
    <row r="209" spans="2:7" ht="15.75" x14ac:dyDescent="0.25">
      <c r="B209" s="5"/>
      <c r="C209" s="5"/>
      <c r="D209" s="5"/>
      <c r="E209" s="6"/>
      <c r="F209" s="6"/>
      <c r="G209" s="5"/>
    </row>
    <row r="210" spans="2:7" ht="15.75" x14ac:dyDescent="0.25">
      <c r="B210" s="5"/>
      <c r="C210" s="5"/>
      <c r="D210" s="5"/>
      <c r="E210" s="6"/>
      <c r="F210" s="6"/>
      <c r="G210" s="5"/>
    </row>
    <row r="211" spans="2:7" x14ac:dyDescent="0.25">
      <c r="B211" s="6"/>
      <c r="C211" s="6"/>
      <c r="D211" s="6"/>
      <c r="E211" s="6"/>
      <c r="F211" s="6"/>
      <c r="G211" s="6"/>
    </row>
  </sheetData>
  <mergeCells count="21">
    <mergeCell ref="F8:G8"/>
    <mergeCell ref="H8:I8"/>
    <mergeCell ref="J8:K8"/>
    <mergeCell ref="L8:M8"/>
    <mergeCell ref="N8:O8"/>
    <mergeCell ref="R188:S188"/>
    <mergeCell ref="B5:S5"/>
    <mergeCell ref="P1:S1"/>
    <mergeCell ref="P2:S2"/>
    <mergeCell ref="P3:S3"/>
    <mergeCell ref="P8:Q8"/>
    <mergeCell ref="R8:S8"/>
    <mergeCell ref="D187:F187"/>
    <mergeCell ref="D188:E188"/>
    <mergeCell ref="F188:G188"/>
    <mergeCell ref="H188:I188"/>
    <mergeCell ref="J188:K188"/>
    <mergeCell ref="L188:M188"/>
    <mergeCell ref="N188:O188"/>
    <mergeCell ref="P188:Q188"/>
    <mergeCell ref="D8:E8"/>
  </mergeCells>
  <pageMargins left="0.7" right="0.7" top="0.75" bottom="0.75" header="0.3" footer="0.3"/>
  <pageSetup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5"/>
  <sheetViews>
    <sheetView zoomScale="90" zoomScaleNormal="90" workbookViewId="0">
      <pane ySplit="6" topLeftCell="A83" activePane="bottomLeft" state="frozen"/>
      <selection pane="bottomLeft" activeCell="H190" sqref="H190"/>
    </sheetView>
  </sheetViews>
  <sheetFormatPr defaultRowHeight="15" x14ac:dyDescent="0.25"/>
  <cols>
    <col min="1" max="1" width="4.42578125" style="7"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2" max="12" width="11.7109375" customWidth="1"/>
    <col min="13" max="13" width="12.7109375" customWidth="1"/>
    <col min="17" max="17" width="10.28515625" style="7" customWidth="1"/>
    <col min="19" max="19" width="12.140625" customWidth="1"/>
    <col min="20" max="20" width="12" customWidth="1"/>
    <col min="21" max="21" width="12.5703125" customWidth="1"/>
    <col min="22" max="22" width="11.140625" customWidth="1"/>
  </cols>
  <sheetData>
    <row r="1" spans="2:22" ht="15.75" x14ac:dyDescent="0.25">
      <c r="S1" s="146" t="s">
        <v>142</v>
      </c>
      <c r="T1" s="146"/>
      <c r="U1" s="146"/>
    </row>
    <row r="2" spans="2:22" ht="15.75" x14ac:dyDescent="0.25">
      <c r="S2" s="147" t="s">
        <v>24</v>
      </c>
      <c r="T2" s="147"/>
      <c r="U2" s="147"/>
    </row>
    <row r="3" spans="2:22" ht="15.75" x14ac:dyDescent="0.25">
      <c r="S3" s="147" t="s">
        <v>25</v>
      </c>
      <c r="T3" s="147"/>
      <c r="U3" s="147"/>
    </row>
    <row r="4" spans="2:22" ht="15.75" x14ac:dyDescent="0.25">
      <c r="B4" s="1" t="s">
        <v>26</v>
      </c>
      <c r="C4" s="7"/>
      <c r="D4" s="7"/>
      <c r="E4" s="7"/>
      <c r="F4" s="7"/>
      <c r="G4" s="7"/>
      <c r="H4" s="7"/>
      <c r="I4" s="7"/>
      <c r="J4" s="7"/>
      <c r="K4" s="7"/>
      <c r="L4" s="7"/>
      <c r="M4" s="7"/>
      <c r="N4" s="7"/>
      <c r="O4" s="7"/>
      <c r="P4" s="7"/>
      <c r="R4" s="7"/>
      <c r="S4" s="7"/>
      <c r="T4" s="7"/>
      <c r="U4" s="7"/>
      <c r="V4" s="7"/>
    </row>
    <row r="5" spans="2:22" ht="15" customHeight="1" x14ac:dyDescent="0.25">
      <c r="B5" s="156" t="s">
        <v>27</v>
      </c>
      <c r="C5" s="156"/>
      <c r="D5" s="156"/>
      <c r="E5" s="156"/>
      <c r="F5" s="156"/>
      <c r="G5" s="156"/>
      <c r="H5" s="156"/>
      <c r="I5" s="156"/>
      <c r="J5" s="156"/>
      <c r="K5" s="156"/>
      <c r="L5" s="157" t="s">
        <v>28</v>
      </c>
      <c r="M5" s="158"/>
      <c r="N5" s="158"/>
      <c r="O5" s="158"/>
      <c r="P5" s="158"/>
      <c r="Q5" s="158"/>
      <c r="R5" s="159"/>
      <c r="S5" s="157" t="s">
        <v>29</v>
      </c>
      <c r="T5" s="158"/>
      <c r="U5" s="158"/>
      <c r="V5" s="159"/>
    </row>
    <row r="6" spans="2:22" ht="84" x14ac:dyDescent="0.25">
      <c r="B6" s="17" t="s">
        <v>10</v>
      </c>
      <c r="C6" s="17" t="s">
        <v>136</v>
      </c>
      <c r="D6" s="17" t="s">
        <v>30</v>
      </c>
      <c r="E6" s="17" t="s">
        <v>146</v>
      </c>
      <c r="F6" s="17" t="s">
        <v>31</v>
      </c>
      <c r="G6" s="17" t="s">
        <v>32</v>
      </c>
      <c r="H6" s="18" t="s">
        <v>33</v>
      </c>
      <c r="I6" s="17" t="s">
        <v>34</v>
      </c>
      <c r="J6" s="17" t="s">
        <v>35</v>
      </c>
      <c r="K6" s="17" t="s">
        <v>36</v>
      </c>
      <c r="L6" s="17" t="s">
        <v>37</v>
      </c>
      <c r="M6" s="17" t="s">
        <v>38</v>
      </c>
      <c r="N6" s="17" t="s">
        <v>39</v>
      </c>
      <c r="O6" s="17" t="s">
        <v>40</v>
      </c>
      <c r="P6" s="17" t="s">
        <v>41</v>
      </c>
      <c r="Q6" s="27" t="s">
        <v>13</v>
      </c>
      <c r="R6" s="17" t="s">
        <v>145</v>
      </c>
      <c r="S6" s="36" t="s">
        <v>42</v>
      </c>
      <c r="T6" s="17" t="s">
        <v>43</v>
      </c>
      <c r="U6" s="17" t="s">
        <v>44</v>
      </c>
      <c r="V6" s="17" t="s">
        <v>45</v>
      </c>
    </row>
    <row r="7" spans="2:22" ht="67.5" hidden="1" customHeight="1" x14ac:dyDescent="0.25">
      <c r="B7" s="70" t="s">
        <v>14</v>
      </c>
      <c r="C7" s="70"/>
      <c r="D7" s="70" t="s">
        <v>971</v>
      </c>
      <c r="E7" s="70"/>
      <c r="F7" s="70"/>
      <c r="G7" s="70"/>
      <c r="H7" s="70"/>
      <c r="I7" s="70"/>
      <c r="J7" s="70"/>
      <c r="K7" s="70"/>
      <c r="L7" s="70"/>
      <c r="M7" s="70"/>
      <c r="N7" s="70"/>
      <c r="O7" s="70"/>
      <c r="P7" s="70"/>
      <c r="Q7" s="70"/>
      <c r="R7" s="70"/>
      <c r="S7" s="70"/>
      <c r="T7" s="70"/>
      <c r="U7" s="70"/>
      <c r="V7" s="70"/>
    </row>
    <row r="8" spans="2:22" ht="194.25" hidden="1" customHeight="1" x14ac:dyDescent="0.25">
      <c r="B8" s="12" t="s">
        <v>46</v>
      </c>
      <c r="C8" s="33"/>
      <c r="D8" s="44" t="s">
        <v>150</v>
      </c>
      <c r="E8" s="33"/>
      <c r="F8" s="12"/>
      <c r="G8" s="12"/>
      <c r="H8" s="33"/>
      <c r="I8" s="12"/>
      <c r="J8" s="33"/>
      <c r="K8" s="12"/>
      <c r="L8" s="12"/>
      <c r="M8" s="33"/>
      <c r="N8" s="12"/>
      <c r="O8" s="33"/>
      <c r="P8" s="12"/>
      <c r="Q8" s="12"/>
      <c r="R8" s="33"/>
      <c r="S8" s="12"/>
      <c r="T8" s="12"/>
      <c r="U8" s="12"/>
      <c r="V8" s="33"/>
    </row>
    <row r="9" spans="2:22" ht="114.75" hidden="1" x14ac:dyDescent="0.25">
      <c r="B9" s="13" t="s">
        <v>48</v>
      </c>
      <c r="C9" s="28"/>
      <c r="D9" s="28" t="s">
        <v>151</v>
      </c>
      <c r="E9" s="28"/>
      <c r="F9" s="13"/>
      <c r="G9" s="28"/>
      <c r="H9" s="13"/>
      <c r="I9" s="28"/>
      <c r="J9" s="13"/>
      <c r="K9" s="28"/>
      <c r="L9" s="13"/>
      <c r="M9" s="28"/>
      <c r="N9" s="13"/>
      <c r="O9" s="28"/>
      <c r="P9" s="13"/>
      <c r="Q9" s="28"/>
      <c r="R9" s="13"/>
      <c r="S9" s="28"/>
      <c r="T9" s="28"/>
      <c r="U9" s="13"/>
      <c r="V9" s="28"/>
    </row>
    <row r="10" spans="2:22" ht="51" customHeight="1" x14ac:dyDescent="0.25">
      <c r="B10" s="30" t="s">
        <v>49</v>
      </c>
      <c r="C10" s="30"/>
      <c r="D10" s="30" t="s">
        <v>458</v>
      </c>
      <c r="E10" s="30"/>
      <c r="F10" s="30"/>
      <c r="G10" s="30"/>
      <c r="H10" s="30"/>
      <c r="I10" s="30"/>
      <c r="J10" s="30"/>
      <c r="K10" s="30"/>
      <c r="L10" s="30"/>
      <c r="M10" s="30"/>
      <c r="N10" s="30"/>
      <c r="O10" s="30"/>
      <c r="P10" s="30"/>
      <c r="Q10" s="30"/>
      <c r="R10" s="30"/>
      <c r="S10" s="30"/>
      <c r="T10" s="30"/>
      <c r="U10" s="30"/>
      <c r="V10" s="30"/>
    </row>
    <row r="11" spans="2:22" ht="65.25" hidden="1" customHeight="1" x14ac:dyDescent="0.25">
      <c r="B11" s="19" t="s">
        <v>50</v>
      </c>
      <c r="C11" s="19" t="s">
        <v>529</v>
      </c>
      <c r="D11" s="45" t="s">
        <v>153</v>
      </c>
      <c r="E11" s="45" t="s">
        <v>463</v>
      </c>
      <c r="F11" s="45" t="s">
        <v>464</v>
      </c>
      <c r="G11" s="45" t="s">
        <v>465</v>
      </c>
      <c r="H11" s="45" t="s">
        <v>466</v>
      </c>
      <c r="I11" s="45" t="s">
        <v>467</v>
      </c>
      <c r="J11" s="45" t="s">
        <v>468</v>
      </c>
      <c r="K11" s="45" t="s">
        <v>47</v>
      </c>
      <c r="L11" s="45">
        <v>1695774</v>
      </c>
      <c r="M11" s="45">
        <v>127183</v>
      </c>
      <c r="N11" s="45">
        <v>127183</v>
      </c>
      <c r="O11" s="45">
        <v>0</v>
      </c>
      <c r="P11" s="45">
        <v>0</v>
      </c>
      <c r="Q11" s="45">
        <v>1441408</v>
      </c>
      <c r="R11" s="45">
        <v>0</v>
      </c>
      <c r="S11" s="46" t="s">
        <v>505</v>
      </c>
      <c r="T11" s="46" t="s">
        <v>485</v>
      </c>
      <c r="U11" s="46" t="s">
        <v>486</v>
      </c>
      <c r="V11" s="46">
        <v>2019</v>
      </c>
    </row>
    <row r="12" spans="2:22" ht="66.75" hidden="1" customHeight="1" x14ac:dyDescent="0.25">
      <c r="B12" s="19" t="s">
        <v>51</v>
      </c>
      <c r="C12" s="38" t="s">
        <v>530</v>
      </c>
      <c r="D12" s="45" t="s">
        <v>469</v>
      </c>
      <c r="E12" s="45" t="s">
        <v>463</v>
      </c>
      <c r="F12" s="45" t="s">
        <v>464</v>
      </c>
      <c r="G12" s="45" t="s">
        <v>470</v>
      </c>
      <c r="H12" s="45" t="s">
        <v>466</v>
      </c>
      <c r="I12" s="45" t="s">
        <v>467</v>
      </c>
      <c r="J12" s="45" t="s">
        <v>468</v>
      </c>
      <c r="K12" s="45" t="s">
        <v>47</v>
      </c>
      <c r="L12" s="45">
        <v>1036756</v>
      </c>
      <c r="M12" s="45">
        <v>77757</v>
      </c>
      <c r="N12" s="45">
        <v>77757</v>
      </c>
      <c r="O12" s="45">
        <v>0</v>
      </c>
      <c r="P12" s="45">
        <v>0</v>
      </c>
      <c r="Q12" s="45">
        <v>881242</v>
      </c>
      <c r="R12" s="45">
        <v>0</v>
      </c>
      <c r="S12" s="46" t="s">
        <v>506</v>
      </c>
      <c r="T12" s="46" t="s">
        <v>487</v>
      </c>
      <c r="U12" s="46" t="s">
        <v>488</v>
      </c>
      <c r="V12" s="46">
        <v>2018</v>
      </c>
    </row>
    <row r="13" spans="2:22" s="7" customFormat="1" ht="76.5" hidden="1" x14ac:dyDescent="0.25">
      <c r="B13" s="38" t="s">
        <v>155</v>
      </c>
      <c r="C13" s="38" t="s">
        <v>531</v>
      </c>
      <c r="D13" s="45" t="s">
        <v>156</v>
      </c>
      <c r="E13" s="45" t="s">
        <v>463</v>
      </c>
      <c r="F13" s="45" t="s">
        <v>464</v>
      </c>
      <c r="G13" s="45" t="s">
        <v>470</v>
      </c>
      <c r="H13" s="45" t="s">
        <v>466</v>
      </c>
      <c r="I13" s="45" t="s">
        <v>467</v>
      </c>
      <c r="J13" s="45" t="s">
        <v>468</v>
      </c>
      <c r="K13" s="45" t="s">
        <v>47</v>
      </c>
      <c r="L13" s="45">
        <v>672604.19</v>
      </c>
      <c r="M13" s="45">
        <v>50445.32</v>
      </c>
      <c r="N13" s="45">
        <v>50445.32</v>
      </c>
      <c r="O13" s="45">
        <v>0</v>
      </c>
      <c r="P13" s="45">
        <v>0</v>
      </c>
      <c r="Q13" s="45">
        <v>571713.55000000005</v>
      </c>
      <c r="R13" s="45">
        <v>0</v>
      </c>
      <c r="S13" s="46" t="s">
        <v>507</v>
      </c>
      <c r="T13" s="46" t="s">
        <v>489</v>
      </c>
      <c r="U13" s="46" t="s">
        <v>490</v>
      </c>
      <c r="V13" s="46">
        <v>2018</v>
      </c>
    </row>
    <row r="14" spans="2:22" s="7" customFormat="1" ht="63.75" hidden="1" customHeight="1" x14ac:dyDescent="0.25">
      <c r="B14" s="38" t="s">
        <v>459</v>
      </c>
      <c r="C14" s="38" t="s">
        <v>532</v>
      </c>
      <c r="D14" s="45" t="s">
        <v>471</v>
      </c>
      <c r="E14" s="45" t="s">
        <v>472</v>
      </c>
      <c r="F14" s="45" t="s">
        <v>473</v>
      </c>
      <c r="G14" s="45" t="s">
        <v>474</v>
      </c>
      <c r="H14" s="45" t="s">
        <v>466</v>
      </c>
      <c r="I14" s="45" t="s">
        <v>475</v>
      </c>
      <c r="J14" s="45" t="s">
        <v>476</v>
      </c>
      <c r="K14" s="45" t="s">
        <v>477</v>
      </c>
      <c r="L14" s="45">
        <v>1426434</v>
      </c>
      <c r="M14" s="45">
        <v>106983</v>
      </c>
      <c r="N14" s="45">
        <v>106983</v>
      </c>
      <c r="O14" s="45">
        <v>0</v>
      </c>
      <c r="P14" s="45">
        <v>0</v>
      </c>
      <c r="Q14" s="45">
        <v>1212468</v>
      </c>
      <c r="R14" s="45">
        <v>0</v>
      </c>
      <c r="S14" s="46" t="s">
        <v>500</v>
      </c>
      <c r="T14" s="46" t="s">
        <v>491</v>
      </c>
      <c r="U14" s="46" t="s">
        <v>492</v>
      </c>
      <c r="V14" s="46">
        <v>2022</v>
      </c>
    </row>
    <row r="15" spans="2:22" s="7" customFormat="1" ht="114.75" hidden="1" x14ac:dyDescent="0.25">
      <c r="B15" s="38" t="s">
        <v>159</v>
      </c>
      <c r="C15" s="38" t="s">
        <v>533</v>
      </c>
      <c r="D15" s="45" t="s">
        <v>160</v>
      </c>
      <c r="E15" s="45" t="s">
        <v>478</v>
      </c>
      <c r="F15" s="45" t="s">
        <v>464</v>
      </c>
      <c r="G15" s="45" t="s">
        <v>479</v>
      </c>
      <c r="H15" s="45" t="s">
        <v>466</v>
      </c>
      <c r="I15" s="45" t="s">
        <v>467</v>
      </c>
      <c r="J15" s="45" t="s">
        <v>468</v>
      </c>
      <c r="K15" s="45" t="s">
        <v>47</v>
      </c>
      <c r="L15" s="45">
        <v>579303</v>
      </c>
      <c r="M15" s="45">
        <v>43443</v>
      </c>
      <c r="N15" s="45">
        <v>43443</v>
      </c>
      <c r="O15" s="45">
        <v>0</v>
      </c>
      <c r="P15" s="45">
        <v>0</v>
      </c>
      <c r="Q15" s="45">
        <v>492354</v>
      </c>
      <c r="R15" s="45">
        <v>0</v>
      </c>
      <c r="S15" s="46">
        <v>2016</v>
      </c>
      <c r="T15" s="46" t="s">
        <v>493</v>
      </c>
      <c r="U15" s="46" t="s">
        <v>494</v>
      </c>
      <c r="V15" s="46">
        <v>2020</v>
      </c>
    </row>
    <row r="16" spans="2:22" s="7" customFormat="1" ht="66" hidden="1" customHeight="1" x14ac:dyDescent="0.25">
      <c r="B16" s="116" t="s">
        <v>161</v>
      </c>
      <c r="C16" s="116" t="s">
        <v>534</v>
      </c>
      <c r="D16" s="115" t="s">
        <v>480</v>
      </c>
      <c r="E16" s="115" t="s">
        <v>478</v>
      </c>
      <c r="F16" s="115" t="s">
        <v>464</v>
      </c>
      <c r="G16" s="115" t="s">
        <v>479</v>
      </c>
      <c r="H16" s="115" t="s">
        <v>466</v>
      </c>
      <c r="I16" s="115" t="s">
        <v>467</v>
      </c>
      <c r="J16" s="115" t="s">
        <v>468</v>
      </c>
      <c r="K16" s="115" t="s">
        <v>47</v>
      </c>
      <c r="L16" s="115">
        <v>282353</v>
      </c>
      <c r="M16" s="115">
        <v>21177</v>
      </c>
      <c r="N16" s="115">
        <v>21176</v>
      </c>
      <c r="O16" s="115">
        <v>0</v>
      </c>
      <c r="P16" s="115">
        <v>0</v>
      </c>
      <c r="Q16" s="115">
        <v>240000</v>
      </c>
      <c r="R16" s="115">
        <v>0</v>
      </c>
      <c r="S16" s="117" t="s">
        <v>485</v>
      </c>
      <c r="T16" s="117" t="s">
        <v>495</v>
      </c>
      <c r="U16" s="117" t="s">
        <v>496</v>
      </c>
      <c r="V16" s="117">
        <v>2020</v>
      </c>
    </row>
    <row r="17" spans="2:22" s="112" customFormat="1" ht="68.25" customHeight="1" x14ac:dyDescent="0.25">
      <c r="B17" s="116" t="s">
        <v>163</v>
      </c>
      <c r="C17" s="116" t="s">
        <v>535</v>
      </c>
      <c r="D17" s="115" t="s">
        <v>164</v>
      </c>
      <c r="E17" s="115" t="s">
        <v>481</v>
      </c>
      <c r="F17" s="115" t="s">
        <v>473</v>
      </c>
      <c r="G17" s="115" t="s">
        <v>482</v>
      </c>
      <c r="H17" s="115" t="s">
        <v>466</v>
      </c>
      <c r="I17" s="115" t="s">
        <v>475</v>
      </c>
      <c r="J17" s="115" t="s">
        <v>476</v>
      </c>
      <c r="K17" s="115" t="s">
        <v>477</v>
      </c>
      <c r="L17" s="115">
        <v>827649.08</v>
      </c>
      <c r="M17" s="115">
        <v>62073.68</v>
      </c>
      <c r="N17" s="115">
        <v>62073.68</v>
      </c>
      <c r="O17" s="115">
        <v>0</v>
      </c>
      <c r="P17" s="115">
        <v>0</v>
      </c>
      <c r="Q17" s="115">
        <v>703501.72</v>
      </c>
      <c r="R17" s="115">
        <v>0</v>
      </c>
      <c r="S17" s="117" t="s">
        <v>503</v>
      </c>
      <c r="T17" s="117" t="s">
        <v>556</v>
      </c>
      <c r="U17" s="117" t="s">
        <v>496</v>
      </c>
      <c r="V17" s="117">
        <v>2020</v>
      </c>
    </row>
    <row r="18" spans="2:22" s="112" customFormat="1" ht="140.25" hidden="1" x14ac:dyDescent="0.25">
      <c r="B18" s="127" t="s">
        <v>165</v>
      </c>
      <c r="C18" s="127" t="s">
        <v>536</v>
      </c>
      <c r="D18" s="53" t="s">
        <v>166</v>
      </c>
      <c r="E18" s="53" t="s">
        <v>481</v>
      </c>
      <c r="F18" s="53" t="s">
        <v>473</v>
      </c>
      <c r="G18" s="53" t="s">
        <v>482</v>
      </c>
      <c r="H18" s="53" t="s">
        <v>466</v>
      </c>
      <c r="I18" s="53" t="s">
        <v>467</v>
      </c>
      <c r="J18" s="53" t="s">
        <v>468</v>
      </c>
      <c r="K18" s="53" t="s">
        <v>47</v>
      </c>
      <c r="L18" s="115">
        <v>633181</v>
      </c>
      <c r="M18" s="115">
        <v>52412</v>
      </c>
      <c r="N18" s="115">
        <v>52411</v>
      </c>
      <c r="O18" s="115">
        <v>0</v>
      </c>
      <c r="P18" s="115">
        <v>0</v>
      </c>
      <c r="Q18" s="115">
        <v>528358</v>
      </c>
      <c r="R18" s="115">
        <v>0</v>
      </c>
      <c r="S18" s="117" t="s">
        <v>508</v>
      </c>
      <c r="T18" s="117" t="s">
        <v>488</v>
      </c>
      <c r="U18" s="117" t="s">
        <v>499</v>
      </c>
      <c r="V18" s="117">
        <v>2019</v>
      </c>
    </row>
    <row r="19" spans="2:22" s="112" customFormat="1" ht="69.75" hidden="1" customHeight="1" x14ac:dyDescent="0.25">
      <c r="B19" s="127" t="s">
        <v>460</v>
      </c>
      <c r="C19" s="127" t="s">
        <v>510</v>
      </c>
      <c r="D19" s="53" t="s">
        <v>168</v>
      </c>
      <c r="E19" s="53" t="s">
        <v>478</v>
      </c>
      <c r="F19" s="53" t="s">
        <v>464</v>
      </c>
      <c r="G19" s="53" t="s">
        <v>479</v>
      </c>
      <c r="H19" s="53" t="s">
        <v>466</v>
      </c>
      <c r="I19" s="53" t="s">
        <v>467</v>
      </c>
      <c r="J19" s="53" t="s">
        <v>468</v>
      </c>
      <c r="K19" s="53" t="s">
        <v>47</v>
      </c>
      <c r="L19" s="115">
        <v>1140564</v>
      </c>
      <c r="M19" s="115">
        <v>378799</v>
      </c>
      <c r="N19" s="115">
        <v>61765</v>
      </c>
      <c r="O19" s="115">
        <v>0</v>
      </c>
      <c r="P19" s="115">
        <v>0</v>
      </c>
      <c r="Q19" s="115">
        <v>700000</v>
      </c>
      <c r="R19" s="115">
        <v>0</v>
      </c>
      <c r="S19" s="117" t="s">
        <v>509</v>
      </c>
      <c r="T19" s="117" t="s">
        <v>485</v>
      </c>
      <c r="U19" s="117" t="s">
        <v>498</v>
      </c>
      <c r="V19" s="117">
        <v>2020</v>
      </c>
    </row>
    <row r="20" spans="2:22" s="112" customFormat="1" ht="69.75" hidden="1" customHeight="1" x14ac:dyDescent="0.25">
      <c r="B20" s="127" t="s">
        <v>461</v>
      </c>
      <c r="C20" s="127" t="s">
        <v>527</v>
      </c>
      <c r="D20" s="53" t="s">
        <v>483</v>
      </c>
      <c r="E20" s="53" t="s">
        <v>481</v>
      </c>
      <c r="F20" s="53" t="s">
        <v>473</v>
      </c>
      <c r="G20" s="53" t="s">
        <v>482</v>
      </c>
      <c r="H20" s="53" t="s">
        <v>466</v>
      </c>
      <c r="I20" s="53" t="s">
        <v>475</v>
      </c>
      <c r="J20" s="53" t="s">
        <v>476</v>
      </c>
      <c r="K20" s="53" t="s">
        <v>477</v>
      </c>
      <c r="L20" s="115">
        <v>1018235</v>
      </c>
      <c r="M20" s="115">
        <v>76368</v>
      </c>
      <c r="N20" s="115">
        <v>76367</v>
      </c>
      <c r="O20" s="115">
        <v>0</v>
      </c>
      <c r="P20" s="115">
        <v>0</v>
      </c>
      <c r="Q20" s="115">
        <v>865500</v>
      </c>
      <c r="R20" s="115">
        <v>0</v>
      </c>
      <c r="S20" s="117" t="s">
        <v>490</v>
      </c>
      <c r="T20" s="117" t="s">
        <v>488</v>
      </c>
      <c r="U20" s="117" t="s">
        <v>499</v>
      </c>
      <c r="V20" s="117">
        <v>2019</v>
      </c>
    </row>
    <row r="21" spans="2:22" s="112" customFormat="1" ht="89.25" x14ac:dyDescent="0.25">
      <c r="B21" s="116" t="s">
        <v>171</v>
      </c>
      <c r="C21" s="116" t="s">
        <v>528</v>
      </c>
      <c r="D21" s="115" t="s">
        <v>172</v>
      </c>
      <c r="E21" s="115" t="s">
        <v>481</v>
      </c>
      <c r="F21" s="115" t="s">
        <v>473</v>
      </c>
      <c r="G21" s="115" t="s">
        <v>482</v>
      </c>
      <c r="H21" s="115" t="s">
        <v>466</v>
      </c>
      <c r="I21" s="115" t="s">
        <v>475</v>
      </c>
      <c r="J21" s="115" t="s">
        <v>476</v>
      </c>
      <c r="K21" s="115" t="s">
        <v>477</v>
      </c>
      <c r="L21" s="115">
        <v>299990</v>
      </c>
      <c r="M21" s="115">
        <v>22499.25</v>
      </c>
      <c r="N21" s="115">
        <v>22499.25</v>
      </c>
      <c r="O21" s="115">
        <v>0</v>
      </c>
      <c r="P21" s="115">
        <v>0</v>
      </c>
      <c r="Q21" s="115">
        <v>254991.5</v>
      </c>
      <c r="R21" s="115">
        <v>0</v>
      </c>
      <c r="S21" s="117" t="s">
        <v>503</v>
      </c>
      <c r="T21" s="117" t="s">
        <v>496</v>
      </c>
      <c r="U21" s="117">
        <v>2019.03</v>
      </c>
      <c r="V21" s="117">
        <v>2020</v>
      </c>
    </row>
    <row r="22" spans="2:22" s="7" customFormat="1" ht="76.5" hidden="1" x14ac:dyDescent="0.25">
      <c r="B22" s="38" t="s">
        <v>173</v>
      </c>
      <c r="C22" s="38" t="s">
        <v>537</v>
      </c>
      <c r="D22" s="45" t="s">
        <v>174</v>
      </c>
      <c r="E22" s="45" t="s">
        <v>478</v>
      </c>
      <c r="F22" s="45" t="s">
        <v>464</v>
      </c>
      <c r="G22" s="45" t="s">
        <v>479</v>
      </c>
      <c r="H22" s="45" t="s">
        <v>466</v>
      </c>
      <c r="I22" s="45" t="s">
        <v>467</v>
      </c>
      <c r="J22" s="45" t="s">
        <v>468</v>
      </c>
      <c r="K22" s="45" t="s">
        <v>47</v>
      </c>
      <c r="L22" s="45">
        <v>941177</v>
      </c>
      <c r="M22" s="45">
        <v>70589</v>
      </c>
      <c r="N22" s="45">
        <v>70588</v>
      </c>
      <c r="O22" s="45">
        <v>0</v>
      </c>
      <c r="P22" s="45">
        <v>0</v>
      </c>
      <c r="Q22" s="45">
        <v>800000</v>
      </c>
      <c r="R22" s="45">
        <v>0</v>
      </c>
      <c r="S22" s="46">
        <v>2016</v>
      </c>
      <c r="T22" s="46" t="s">
        <v>501</v>
      </c>
      <c r="U22" s="46" t="s">
        <v>502</v>
      </c>
      <c r="V22" s="46">
        <v>2019</v>
      </c>
    </row>
    <row r="23" spans="2:22" s="7" customFormat="1" ht="76.5" hidden="1" customHeight="1" x14ac:dyDescent="0.25">
      <c r="B23" s="116" t="s">
        <v>175</v>
      </c>
      <c r="C23" s="116" t="s">
        <v>538</v>
      </c>
      <c r="D23" s="115" t="s">
        <v>176</v>
      </c>
      <c r="E23" s="115" t="s">
        <v>478</v>
      </c>
      <c r="F23" s="115" t="s">
        <v>464</v>
      </c>
      <c r="G23" s="115" t="s">
        <v>479</v>
      </c>
      <c r="H23" s="115" t="s">
        <v>466</v>
      </c>
      <c r="I23" s="115" t="s">
        <v>467</v>
      </c>
      <c r="J23" s="115" t="s">
        <v>468</v>
      </c>
      <c r="K23" s="115" t="s">
        <v>47</v>
      </c>
      <c r="L23" s="115">
        <v>609390</v>
      </c>
      <c r="M23" s="115">
        <v>257125</v>
      </c>
      <c r="N23" s="115">
        <v>28562</v>
      </c>
      <c r="O23" s="115">
        <v>0</v>
      </c>
      <c r="P23" s="115">
        <v>0</v>
      </c>
      <c r="Q23" s="115">
        <v>323703</v>
      </c>
      <c r="R23" s="115">
        <v>0</v>
      </c>
      <c r="S23" s="117" t="s">
        <v>497</v>
      </c>
      <c r="T23" s="117" t="s">
        <v>498</v>
      </c>
      <c r="U23" s="117" t="s">
        <v>503</v>
      </c>
      <c r="V23" s="117">
        <v>2020</v>
      </c>
    </row>
    <row r="24" spans="2:22" s="7" customFormat="1" ht="68.25" hidden="1" customHeight="1" x14ac:dyDescent="0.25">
      <c r="B24" s="38" t="s">
        <v>462</v>
      </c>
      <c r="C24" s="38" t="s">
        <v>539</v>
      </c>
      <c r="D24" s="45" t="s">
        <v>484</v>
      </c>
      <c r="E24" s="45" t="s">
        <v>481</v>
      </c>
      <c r="F24" s="45" t="s">
        <v>473</v>
      </c>
      <c r="G24" s="45" t="s">
        <v>482</v>
      </c>
      <c r="H24" s="45" t="s">
        <v>466</v>
      </c>
      <c r="I24" s="45" t="s">
        <v>475</v>
      </c>
      <c r="J24" s="45" t="s">
        <v>476</v>
      </c>
      <c r="K24" s="45" t="s">
        <v>477</v>
      </c>
      <c r="L24" s="45">
        <v>518360.92</v>
      </c>
      <c r="M24" s="45">
        <v>38877.07</v>
      </c>
      <c r="N24" s="45">
        <v>38877.07</v>
      </c>
      <c r="O24" s="45">
        <v>0</v>
      </c>
      <c r="P24" s="45">
        <v>0</v>
      </c>
      <c r="Q24" s="45">
        <v>440606.78</v>
      </c>
      <c r="R24" s="45">
        <v>0</v>
      </c>
      <c r="S24" s="46" t="s">
        <v>505</v>
      </c>
      <c r="T24" s="46" t="s">
        <v>504</v>
      </c>
      <c r="U24" s="46" t="s">
        <v>499</v>
      </c>
      <c r="V24" s="46">
        <v>2019</v>
      </c>
    </row>
    <row r="25" spans="2:22" s="7" customFormat="1" ht="63.75" hidden="1" customHeight="1" x14ac:dyDescent="0.25">
      <c r="B25" s="30" t="s">
        <v>52</v>
      </c>
      <c r="C25" s="30"/>
      <c r="D25" s="30" t="s">
        <v>511</v>
      </c>
      <c r="E25" s="30"/>
      <c r="F25" s="30"/>
      <c r="G25" s="30"/>
      <c r="H25" s="30"/>
      <c r="I25" s="30"/>
      <c r="J25" s="30"/>
      <c r="K25" s="30"/>
      <c r="L25" s="30"/>
      <c r="M25" s="30"/>
      <c r="N25" s="30"/>
      <c r="O25" s="30"/>
      <c r="P25" s="30"/>
      <c r="Q25" s="30"/>
      <c r="R25" s="30"/>
      <c r="S25" s="30"/>
      <c r="T25" s="30"/>
      <c r="U25" s="30"/>
      <c r="V25" s="30"/>
    </row>
    <row r="26" spans="2:22" s="7" customFormat="1" ht="66.75" hidden="1" customHeight="1" x14ac:dyDescent="0.25">
      <c r="B26" s="38" t="s">
        <v>53</v>
      </c>
      <c r="C26" s="38" t="s">
        <v>540</v>
      </c>
      <c r="D26" s="45" t="s">
        <v>180</v>
      </c>
      <c r="E26" s="45" t="s">
        <v>512</v>
      </c>
      <c r="F26" s="45" t="s">
        <v>464</v>
      </c>
      <c r="G26" s="45" t="s">
        <v>513</v>
      </c>
      <c r="H26" s="45" t="s">
        <v>514</v>
      </c>
      <c r="I26" s="45" t="s">
        <v>467</v>
      </c>
      <c r="J26" s="45" t="s">
        <v>468</v>
      </c>
      <c r="K26" s="45" t="s">
        <v>47</v>
      </c>
      <c r="L26" s="45">
        <v>281261</v>
      </c>
      <c r="M26" s="45">
        <v>21095</v>
      </c>
      <c r="N26" s="45">
        <v>21094</v>
      </c>
      <c r="O26" s="45">
        <v>0</v>
      </c>
      <c r="P26" s="45">
        <v>0</v>
      </c>
      <c r="Q26" s="45">
        <v>239072</v>
      </c>
      <c r="R26" s="45">
        <v>0</v>
      </c>
      <c r="S26" s="46" t="s">
        <v>521</v>
      </c>
      <c r="T26" s="46" t="s">
        <v>522</v>
      </c>
      <c r="U26" s="46" t="s">
        <v>523</v>
      </c>
      <c r="V26" s="46">
        <v>2018</v>
      </c>
    </row>
    <row r="27" spans="2:22" s="7" customFormat="1" ht="183.75" hidden="1" customHeight="1" x14ac:dyDescent="0.25">
      <c r="B27" s="38" t="s">
        <v>54</v>
      </c>
      <c r="C27" s="38" t="s">
        <v>542</v>
      </c>
      <c r="D27" s="45" t="s">
        <v>181</v>
      </c>
      <c r="E27" s="45" t="s">
        <v>515</v>
      </c>
      <c r="F27" s="45" t="s">
        <v>464</v>
      </c>
      <c r="G27" s="45" t="s">
        <v>516</v>
      </c>
      <c r="H27" s="45" t="s">
        <v>517</v>
      </c>
      <c r="I27" s="45" t="s">
        <v>518</v>
      </c>
      <c r="J27" s="45" t="s">
        <v>468</v>
      </c>
      <c r="K27" s="45" t="s">
        <v>47</v>
      </c>
      <c r="L27" s="45">
        <v>1708758</v>
      </c>
      <c r="M27" s="45">
        <v>128157</v>
      </c>
      <c r="N27" s="45">
        <v>128157</v>
      </c>
      <c r="O27" s="45">
        <v>0</v>
      </c>
      <c r="P27" s="45">
        <v>0</v>
      </c>
      <c r="Q27" s="45">
        <v>1452444</v>
      </c>
      <c r="R27" s="45">
        <v>0</v>
      </c>
      <c r="S27" s="46">
        <v>2015</v>
      </c>
      <c r="T27" s="46">
        <v>2016</v>
      </c>
      <c r="U27" s="46" t="s">
        <v>494</v>
      </c>
      <c r="V27" s="46">
        <v>2018</v>
      </c>
    </row>
    <row r="28" spans="2:22" s="7" customFormat="1" ht="67.5" hidden="1" customHeight="1" x14ac:dyDescent="0.25">
      <c r="B28" s="38" t="s">
        <v>182</v>
      </c>
      <c r="C28" s="38" t="s">
        <v>541</v>
      </c>
      <c r="D28" s="45" t="s">
        <v>183</v>
      </c>
      <c r="E28" s="45" t="s">
        <v>519</v>
      </c>
      <c r="F28" s="45" t="s">
        <v>464</v>
      </c>
      <c r="G28" s="45" t="s">
        <v>520</v>
      </c>
      <c r="H28" s="45" t="s">
        <v>517</v>
      </c>
      <c r="I28" s="45" t="s">
        <v>518</v>
      </c>
      <c r="J28" s="45" t="s">
        <v>468</v>
      </c>
      <c r="K28" s="45" t="s">
        <v>47</v>
      </c>
      <c r="L28" s="45">
        <v>1095550</v>
      </c>
      <c r="M28" s="45">
        <v>150026</v>
      </c>
      <c r="N28" s="45">
        <v>76664</v>
      </c>
      <c r="O28" s="45">
        <v>0</v>
      </c>
      <c r="P28" s="45">
        <v>0</v>
      </c>
      <c r="Q28" s="45">
        <v>868860</v>
      </c>
      <c r="R28" s="45">
        <v>0</v>
      </c>
      <c r="S28" s="46" t="s">
        <v>524</v>
      </c>
      <c r="T28" s="46" t="s">
        <v>525</v>
      </c>
      <c r="U28" s="46" t="s">
        <v>526</v>
      </c>
      <c r="V28" s="46">
        <v>2018</v>
      </c>
    </row>
    <row r="29" spans="2:22" s="7" customFormat="1" ht="110.25" hidden="1" customHeight="1" x14ac:dyDescent="0.25">
      <c r="B29" s="28" t="s">
        <v>19</v>
      </c>
      <c r="C29" s="28"/>
      <c r="D29" s="28" t="s">
        <v>184</v>
      </c>
      <c r="E29" s="28"/>
      <c r="F29" s="13"/>
      <c r="G29" s="28"/>
      <c r="H29" s="28"/>
      <c r="I29" s="28"/>
      <c r="J29" s="13"/>
      <c r="K29" s="28"/>
      <c r="L29" s="28"/>
      <c r="M29" s="28"/>
      <c r="N29" s="13"/>
      <c r="O29" s="28"/>
      <c r="P29" s="28"/>
      <c r="Q29" s="28"/>
      <c r="R29" s="13"/>
      <c r="S29" s="28"/>
      <c r="T29" s="28"/>
      <c r="U29" s="28"/>
      <c r="V29" s="13"/>
    </row>
    <row r="30" spans="2:22" s="7" customFormat="1" ht="51.75" hidden="1" customHeight="1" x14ac:dyDescent="0.25">
      <c r="B30" s="30" t="s">
        <v>546</v>
      </c>
      <c r="C30" s="30"/>
      <c r="D30" s="30" t="s">
        <v>185</v>
      </c>
      <c r="E30" s="30"/>
      <c r="F30" s="30"/>
      <c r="G30" s="30"/>
      <c r="H30" s="30"/>
      <c r="I30" s="30"/>
      <c r="J30" s="30"/>
      <c r="K30" s="30"/>
      <c r="L30" s="30"/>
      <c r="M30" s="30"/>
      <c r="N30" s="30"/>
      <c r="O30" s="30"/>
      <c r="P30" s="30"/>
      <c r="Q30" s="30"/>
      <c r="R30" s="30"/>
      <c r="S30" s="30"/>
      <c r="T30" s="30"/>
      <c r="U30" s="30"/>
      <c r="V30" s="30"/>
    </row>
    <row r="31" spans="2:22" ht="206.25" hidden="1" customHeight="1" x14ac:dyDescent="0.25">
      <c r="B31" s="45" t="s">
        <v>186</v>
      </c>
      <c r="C31" s="45" t="s">
        <v>563</v>
      </c>
      <c r="D31" s="45" t="s">
        <v>187</v>
      </c>
      <c r="E31" s="45" t="s">
        <v>512</v>
      </c>
      <c r="F31" s="45" t="s">
        <v>464</v>
      </c>
      <c r="G31" s="45" t="s">
        <v>543</v>
      </c>
      <c r="H31" s="45" t="s">
        <v>544</v>
      </c>
      <c r="I31" s="45" t="s">
        <v>467</v>
      </c>
      <c r="J31" s="45"/>
      <c r="K31" s="45" t="s">
        <v>47</v>
      </c>
      <c r="L31" s="45">
        <v>904727</v>
      </c>
      <c r="M31" s="45">
        <v>67855</v>
      </c>
      <c r="N31" s="45">
        <v>67854</v>
      </c>
      <c r="O31" s="45">
        <v>0</v>
      </c>
      <c r="P31" s="45">
        <v>0</v>
      </c>
      <c r="Q31" s="45">
        <v>769018</v>
      </c>
      <c r="R31" s="45">
        <v>0</v>
      </c>
      <c r="S31" s="46" t="s">
        <v>545</v>
      </c>
      <c r="T31" s="46" t="s">
        <v>507</v>
      </c>
      <c r="U31" s="46" t="s">
        <v>523</v>
      </c>
      <c r="V31" s="46">
        <v>2019</v>
      </c>
    </row>
    <row r="32" spans="2:22" s="7" customFormat="1" ht="171" hidden="1" customHeight="1" x14ac:dyDescent="0.25">
      <c r="B32" s="28" t="s">
        <v>188</v>
      </c>
      <c r="C32" s="28"/>
      <c r="D32" s="28" t="s">
        <v>189</v>
      </c>
      <c r="E32" s="28"/>
      <c r="F32" s="28"/>
      <c r="G32" s="28"/>
      <c r="H32" s="28"/>
      <c r="I32" s="28"/>
      <c r="J32" s="28"/>
      <c r="K32" s="28"/>
      <c r="L32" s="28"/>
      <c r="M32" s="28"/>
      <c r="N32" s="28"/>
      <c r="O32" s="28"/>
      <c r="P32" s="28"/>
      <c r="Q32" s="28"/>
      <c r="R32" s="28"/>
      <c r="S32" s="28"/>
      <c r="T32" s="28"/>
      <c r="U32" s="28"/>
      <c r="V32" s="28"/>
    </row>
    <row r="33" spans="2:22" s="7" customFormat="1" ht="87.75" hidden="1" customHeight="1" x14ac:dyDescent="0.25">
      <c r="B33" s="30" t="s">
        <v>190</v>
      </c>
      <c r="C33" s="30"/>
      <c r="D33" s="30" t="s">
        <v>191</v>
      </c>
      <c r="E33" s="30"/>
      <c r="F33" s="30"/>
      <c r="G33" s="30"/>
      <c r="H33" s="30"/>
      <c r="I33" s="30"/>
      <c r="J33" s="30"/>
      <c r="K33" s="30"/>
      <c r="L33" s="30"/>
      <c r="M33" s="30"/>
      <c r="N33" s="30"/>
      <c r="O33" s="30"/>
      <c r="P33" s="30"/>
      <c r="Q33" s="30"/>
      <c r="R33" s="30"/>
      <c r="S33" s="30"/>
      <c r="T33" s="30"/>
      <c r="U33" s="30"/>
      <c r="V33" s="30"/>
    </row>
    <row r="34" spans="2:22" s="7" customFormat="1" ht="96" hidden="1" customHeight="1" x14ac:dyDescent="0.25">
      <c r="B34" s="30" t="s">
        <v>192</v>
      </c>
      <c r="C34" s="30"/>
      <c r="D34" s="30" t="s">
        <v>193</v>
      </c>
      <c r="E34" s="30"/>
      <c r="F34" s="30"/>
      <c r="G34" s="30"/>
      <c r="H34" s="30"/>
      <c r="I34" s="30"/>
      <c r="J34" s="30"/>
      <c r="K34" s="30"/>
      <c r="L34" s="30"/>
      <c r="M34" s="30"/>
      <c r="N34" s="30"/>
      <c r="O34" s="30"/>
      <c r="P34" s="30"/>
      <c r="Q34" s="30"/>
      <c r="R34" s="30"/>
      <c r="S34" s="30"/>
      <c r="T34" s="30"/>
      <c r="U34" s="30"/>
      <c r="V34" s="30"/>
    </row>
    <row r="35" spans="2:22" s="7" customFormat="1" ht="75" hidden="1" customHeight="1" x14ac:dyDescent="0.25">
      <c r="B35" s="12" t="s">
        <v>21</v>
      </c>
      <c r="C35" s="33"/>
      <c r="D35" s="44" t="s">
        <v>194</v>
      </c>
      <c r="E35" s="33"/>
      <c r="F35" s="12"/>
      <c r="G35" s="12"/>
      <c r="H35" s="33"/>
      <c r="I35" s="12"/>
      <c r="J35" s="33"/>
      <c r="K35" s="44"/>
      <c r="L35" s="33"/>
      <c r="M35" s="12"/>
      <c r="N35" s="12"/>
      <c r="O35" s="33"/>
      <c r="P35" s="12"/>
      <c r="Q35" s="33"/>
      <c r="R35" s="44"/>
      <c r="S35" s="33"/>
      <c r="T35" s="12"/>
      <c r="U35" s="12"/>
      <c r="V35" s="33"/>
    </row>
    <row r="36" spans="2:22" s="7" customFormat="1" ht="78" hidden="1" customHeight="1" x14ac:dyDescent="0.25">
      <c r="B36" s="28" t="s">
        <v>22</v>
      </c>
      <c r="C36" s="28"/>
      <c r="D36" s="28" t="s">
        <v>195</v>
      </c>
      <c r="E36" s="28"/>
      <c r="F36" s="28"/>
      <c r="G36" s="28"/>
      <c r="H36" s="28"/>
      <c r="I36" s="28"/>
      <c r="J36" s="28"/>
      <c r="K36" s="28"/>
      <c r="L36" s="28"/>
      <c r="M36" s="28"/>
      <c r="N36" s="28"/>
      <c r="O36" s="28"/>
      <c r="P36" s="28"/>
      <c r="Q36" s="28"/>
      <c r="R36" s="28"/>
      <c r="S36" s="28"/>
      <c r="T36" s="28"/>
      <c r="U36" s="28"/>
      <c r="V36" s="28"/>
    </row>
    <row r="37" spans="2:22" ht="27.75" hidden="1" customHeight="1" x14ac:dyDescent="0.25">
      <c r="B37" s="30" t="s">
        <v>196</v>
      </c>
      <c r="C37" s="30"/>
      <c r="D37" s="30" t="s">
        <v>547</v>
      </c>
      <c r="E37" s="30"/>
      <c r="F37" s="30"/>
      <c r="G37" s="30"/>
      <c r="H37" s="30"/>
      <c r="I37" s="30"/>
      <c r="J37" s="30"/>
      <c r="K37" s="30"/>
      <c r="L37" s="30"/>
      <c r="M37" s="30"/>
      <c r="N37" s="30"/>
      <c r="O37" s="30"/>
      <c r="P37" s="30"/>
      <c r="Q37" s="30"/>
      <c r="R37" s="30"/>
      <c r="S37" s="30"/>
      <c r="T37" s="30"/>
      <c r="U37" s="30"/>
      <c r="V37" s="30"/>
    </row>
    <row r="38" spans="2:22" s="7" customFormat="1" ht="75.75" hidden="1" customHeight="1" x14ac:dyDescent="0.25">
      <c r="B38" s="32" t="s">
        <v>198</v>
      </c>
      <c r="C38" s="32" t="s">
        <v>562</v>
      </c>
      <c r="D38" s="32" t="s">
        <v>199</v>
      </c>
      <c r="E38" s="32" t="s">
        <v>512</v>
      </c>
      <c r="F38" s="32" t="s">
        <v>548</v>
      </c>
      <c r="G38" s="32" t="s">
        <v>513</v>
      </c>
      <c r="H38" s="32" t="s">
        <v>549</v>
      </c>
      <c r="I38" s="32" t="s">
        <v>467</v>
      </c>
      <c r="J38" s="32" t="s">
        <v>468</v>
      </c>
      <c r="K38" s="32" t="s">
        <v>47</v>
      </c>
      <c r="L38" s="32">
        <v>752000</v>
      </c>
      <c r="M38" s="32">
        <v>56400.06</v>
      </c>
      <c r="N38" s="32">
        <v>0</v>
      </c>
      <c r="O38" s="32">
        <v>0</v>
      </c>
      <c r="P38" s="32">
        <v>56400</v>
      </c>
      <c r="Q38" s="32">
        <v>639199.93999999994</v>
      </c>
      <c r="R38" s="32">
        <v>0</v>
      </c>
      <c r="S38" s="47" t="s">
        <v>501</v>
      </c>
      <c r="T38" s="47" t="s">
        <v>503</v>
      </c>
      <c r="U38" s="47" t="s">
        <v>556</v>
      </c>
      <c r="V38" s="47">
        <v>2019</v>
      </c>
    </row>
    <row r="39" spans="2:22" s="7" customFormat="1" ht="75.75" hidden="1" customHeight="1" x14ac:dyDescent="0.25">
      <c r="B39" s="32" t="s">
        <v>200</v>
      </c>
      <c r="C39" s="32" t="s">
        <v>564</v>
      </c>
      <c r="D39" s="32" t="s">
        <v>201</v>
      </c>
      <c r="E39" s="32" t="s">
        <v>550</v>
      </c>
      <c r="F39" s="32" t="s">
        <v>548</v>
      </c>
      <c r="G39" s="32" t="s">
        <v>551</v>
      </c>
      <c r="H39" s="32" t="s">
        <v>549</v>
      </c>
      <c r="I39" s="32" t="s">
        <v>467</v>
      </c>
      <c r="J39" s="32" t="s">
        <v>468</v>
      </c>
      <c r="K39" s="32" t="s">
        <v>47</v>
      </c>
      <c r="L39" s="32">
        <v>186676.75</v>
      </c>
      <c r="M39" s="32">
        <v>45176.75</v>
      </c>
      <c r="N39" s="32">
        <v>0</v>
      </c>
      <c r="O39" s="32">
        <v>0</v>
      </c>
      <c r="P39" s="32">
        <v>14000</v>
      </c>
      <c r="Q39" s="32">
        <v>127500</v>
      </c>
      <c r="R39" s="32">
        <v>0</v>
      </c>
      <c r="S39" s="47" t="s">
        <v>557</v>
      </c>
      <c r="T39" s="47" t="s">
        <v>503</v>
      </c>
      <c r="U39" s="47" t="s">
        <v>495</v>
      </c>
      <c r="V39" s="47">
        <v>2019</v>
      </c>
    </row>
    <row r="40" spans="2:22" s="7" customFormat="1" ht="132" hidden="1" customHeight="1" x14ac:dyDescent="0.25">
      <c r="B40" s="32" t="s">
        <v>202</v>
      </c>
      <c r="C40" s="32" t="s">
        <v>565</v>
      </c>
      <c r="D40" s="32" t="s">
        <v>203</v>
      </c>
      <c r="E40" s="32" t="s">
        <v>463</v>
      </c>
      <c r="F40" s="32" t="s">
        <v>548</v>
      </c>
      <c r="G40" s="32" t="s">
        <v>470</v>
      </c>
      <c r="H40" s="32" t="s">
        <v>549</v>
      </c>
      <c r="I40" s="32" t="s">
        <v>467</v>
      </c>
      <c r="J40" s="32" t="s">
        <v>468</v>
      </c>
      <c r="K40" s="32" t="s">
        <v>47</v>
      </c>
      <c r="L40" s="32">
        <v>935258.45</v>
      </c>
      <c r="M40" s="32">
        <v>70144.39</v>
      </c>
      <c r="N40" s="32">
        <v>0</v>
      </c>
      <c r="O40" s="32">
        <v>0</v>
      </c>
      <c r="P40" s="32">
        <v>70144.38</v>
      </c>
      <c r="Q40" s="32">
        <v>794969.67999999993</v>
      </c>
      <c r="R40" s="32">
        <v>0</v>
      </c>
      <c r="S40" s="47" t="s">
        <v>493</v>
      </c>
      <c r="T40" s="47" t="s">
        <v>508</v>
      </c>
      <c r="U40" s="47" t="s">
        <v>488</v>
      </c>
      <c r="V40" s="47">
        <v>2019</v>
      </c>
    </row>
    <row r="41" spans="2:22" s="7" customFormat="1" ht="92.25" hidden="1" customHeight="1" x14ac:dyDescent="0.25">
      <c r="B41" s="32" t="s">
        <v>204</v>
      </c>
      <c r="C41" s="32" t="s">
        <v>568</v>
      </c>
      <c r="D41" s="32" t="s">
        <v>205</v>
      </c>
      <c r="E41" s="32" t="s">
        <v>550</v>
      </c>
      <c r="F41" s="32" t="s">
        <v>548</v>
      </c>
      <c r="G41" s="32" t="s">
        <v>551</v>
      </c>
      <c r="H41" s="32" t="s">
        <v>549</v>
      </c>
      <c r="I41" s="32" t="s">
        <v>467</v>
      </c>
      <c r="J41" s="32" t="s">
        <v>468</v>
      </c>
      <c r="K41" s="32" t="s">
        <v>47</v>
      </c>
      <c r="L41" s="32">
        <v>629529.59</v>
      </c>
      <c r="M41" s="32">
        <v>47214.720000000001</v>
      </c>
      <c r="N41" s="32">
        <v>0</v>
      </c>
      <c r="O41" s="32">
        <v>0</v>
      </c>
      <c r="P41" s="32">
        <v>47214.720000000001</v>
      </c>
      <c r="Q41" s="32">
        <v>535100.15</v>
      </c>
      <c r="R41" s="32">
        <v>0</v>
      </c>
      <c r="S41" s="47" t="s">
        <v>558</v>
      </c>
      <c r="T41" s="47" t="s">
        <v>559</v>
      </c>
      <c r="U41" s="47" t="s">
        <v>509</v>
      </c>
      <c r="V41" s="47">
        <v>2019</v>
      </c>
    </row>
    <row r="42" spans="2:22" s="7" customFormat="1" ht="71.25" hidden="1" customHeight="1" x14ac:dyDescent="0.25">
      <c r="B42" s="32" t="s">
        <v>206</v>
      </c>
      <c r="C42" s="32" t="s">
        <v>566</v>
      </c>
      <c r="D42" s="32" t="s">
        <v>207</v>
      </c>
      <c r="E42" s="32" t="s">
        <v>478</v>
      </c>
      <c r="F42" s="32" t="s">
        <v>548</v>
      </c>
      <c r="G42" s="32" t="s">
        <v>479</v>
      </c>
      <c r="H42" s="32" t="s">
        <v>549</v>
      </c>
      <c r="I42" s="32" t="s">
        <v>467</v>
      </c>
      <c r="J42" s="32" t="s">
        <v>468</v>
      </c>
      <c r="K42" s="32" t="s">
        <v>47</v>
      </c>
      <c r="L42" s="32">
        <v>428573.83</v>
      </c>
      <c r="M42" s="32">
        <v>34684.57</v>
      </c>
      <c r="N42" s="32">
        <v>32143.03</v>
      </c>
      <c r="O42" s="32">
        <v>0</v>
      </c>
      <c r="P42" s="32">
        <v>0</v>
      </c>
      <c r="Q42" s="32">
        <v>361746.23</v>
      </c>
      <c r="R42" s="32">
        <v>0</v>
      </c>
      <c r="S42" s="47" t="s">
        <v>545</v>
      </c>
      <c r="T42" s="47" t="s">
        <v>504</v>
      </c>
      <c r="U42" s="47" t="s">
        <v>498</v>
      </c>
      <c r="V42" s="47">
        <v>2019</v>
      </c>
    </row>
    <row r="43" spans="2:22" s="7" customFormat="1" ht="99" hidden="1" customHeight="1" x14ac:dyDescent="0.25">
      <c r="B43" s="32" t="s">
        <v>208</v>
      </c>
      <c r="C43" s="32" t="s">
        <v>567</v>
      </c>
      <c r="D43" s="32" t="s">
        <v>552</v>
      </c>
      <c r="E43" s="32" t="s">
        <v>519</v>
      </c>
      <c r="F43" s="32" t="s">
        <v>548</v>
      </c>
      <c r="G43" s="32" t="s">
        <v>553</v>
      </c>
      <c r="H43" s="32" t="s">
        <v>549</v>
      </c>
      <c r="I43" s="32" t="s">
        <v>467</v>
      </c>
      <c r="J43" s="32" t="s">
        <v>468</v>
      </c>
      <c r="K43" s="32" t="s">
        <v>47</v>
      </c>
      <c r="L43" s="32">
        <v>381140.11</v>
      </c>
      <c r="M43" s="47" t="s">
        <v>554</v>
      </c>
      <c r="N43" s="32">
        <v>0</v>
      </c>
      <c r="O43" s="32">
        <v>0</v>
      </c>
      <c r="P43" s="47" t="s">
        <v>554</v>
      </c>
      <c r="Q43" s="32">
        <v>323969.08999999997</v>
      </c>
      <c r="R43" s="32">
        <v>0</v>
      </c>
      <c r="S43" s="47" t="s">
        <v>493</v>
      </c>
      <c r="T43" s="47" t="s">
        <v>496</v>
      </c>
      <c r="U43" s="47" t="s">
        <v>994</v>
      </c>
      <c r="V43" s="47">
        <v>2020</v>
      </c>
    </row>
    <row r="44" spans="2:22" s="7" customFormat="1" ht="68.25" hidden="1" customHeight="1" x14ac:dyDescent="0.25">
      <c r="B44" s="32" t="s">
        <v>210</v>
      </c>
      <c r="C44" s="32" t="s">
        <v>569</v>
      </c>
      <c r="D44" s="32" t="s">
        <v>211</v>
      </c>
      <c r="E44" s="32" t="s">
        <v>515</v>
      </c>
      <c r="F44" s="32" t="s">
        <v>548</v>
      </c>
      <c r="G44" s="32" t="s">
        <v>555</v>
      </c>
      <c r="H44" s="32" t="s">
        <v>549</v>
      </c>
      <c r="I44" s="32" t="s">
        <v>467</v>
      </c>
      <c r="J44" s="32" t="s">
        <v>468</v>
      </c>
      <c r="K44" s="32" t="s">
        <v>47</v>
      </c>
      <c r="L44" s="32">
        <v>774117.56</v>
      </c>
      <c r="M44" s="32">
        <v>116117.63</v>
      </c>
      <c r="N44" s="32">
        <v>0</v>
      </c>
      <c r="O44" s="32">
        <v>0</v>
      </c>
      <c r="P44" s="32">
        <v>0</v>
      </c>
      <c r="Q44" s="32">
        <v>657999.93000000005</v>
      </c>
      <c r="R44" s="32">
        <v>0</v>
      </c>
      <c r="S44" s="47" t="s">
        <v>560</v>
      </c>
      <c r="T44" s="47" t="s">
        <v>485</v>
      </c>
      <c r="U44" s="47" t="s">
        <v>498</v>
      </c>
      <c r="V44" s="47">
        <v>2019</v>
      </c>
    </row>
    <row r="45" spans="2:22" ht="89.25" hidden="1" x14ac:dyDescent="0.25">
      <c r="B45" s="32" t="s">
        <v>212</v>
      </c>
      <c r="C45" s="32" t="s">
        <v>570</v>
      </c>
      <c r="D45" s="45" t="s">
        <v>213</v>
      </c>
      <c r="E45" s="45" t="s">
        <v>550</v>
      </c>
      <c r="F45" s="45" t="s">
        <v>548</v>
      </c>
      <c r="G45" s="45" t="s">
        <v>551</v>
      </c>
      <c r="H45" s="45" t="s">
        <v>549</v>
      </c>
      <c r="I45" s="45" t="s">
        <v>467</v>
      </c>
      <c r="J45" s="45" t="s">
        <v>468</v>
      </c>
      <c r="K45" s="45" t="s">
        <v>47</v>
      </c>
      <c r="L45" s="32">
        <v>110350</v>
      </c>
      <c r="M45" s="32">
        <v>11549</v>
      </c>
      <c r="N45" s="32">
        <v>0</v>
      </c>
      <c r="O45" s="32">
        <v>0</v>
      </c>
      <c r="P45" s="32">
        <v>8276</v>
      </c>
      <c r="Q45" s="32">
        <v>90525</v>
      </c>
      <c r="R45" s="32">
        <v>0</v>
      </c>
      <c r="S45" s="47" t="s">
        <v>558</v>
      </c>
      <c r="T45" s="47" t="s">
        <v>556</v>
      </c>
      <c r="U45" s="47" t="s">
        <v>561</v>
      </c>
      <c r="V45" s="47">
        <v>2019</v>
      </c>
    </row>
    <row r="46" spans="2:22" s="7" customFormat="1" ht="102" hidden="1" x14ac:dyDescent="0.25">
      <c r="B46" s="28" t="s">
        <v>214</v>
      </c>
      <c r="C46" s="28"/>
      <c r="D46" s="28" t="s">
        <v>215</v>
      </c>
      <c r="E46" s="28"/>
      <c r="F46" s="28"/>
      <c r="G46" s="28"/>
      <c r="H46" s="28"/>
      <c r="I46" s="28"/>
      <c r="J46" s="28"/>
      <c r="K46" s="28"/>
      <c r="L46" s="28"/>
      <c r="M46" s="28"/>
      <c r="N46" s="28"/>
      <c r="O46" s="28"/>
      <c r="P46" s="28"/>
      <c r="Q46" s="28"/>
      <c r="R46" s="28"/>
      <c r="S46" s="28"/>
      <c r="T46" s="28"/>
      <c r="U46" s="28"/>
      <c r="V46" s="28"/>
    </row>
    <row r="47" spans="2:22" s="7" customFormat="1" ht="63.75" hidden="1" x14ac:dyDescent="0.25">
      <c r="B47" s="30" t="s">
        <v>216</v>
      </c>
      <c r="C47" s="30"/>
      <c r="D47" s="30" t="s">
        <v>217</v>
      </c>
      <c r="E47" s="30"/>
      <c r="F47" s="30"/>
      <c r="G47" s="30"/>
      <c r="H47" s="30"/>
      <c r="I47" s="30"/>
      <c r="J47" s="30"/>
      <c r="K47" s="30"/>
      <c r="L47" s="30"/>
      <c r="M47" s="30"/>
      <c r="N47" s="30"/>
      <c r="O47" s="30"/>
      <c r="P47" s="30"/>
      <c r="Q47" s="30"/>
      <c r="R47" s="30"/>
      <c r="S47" s="30"/>
      <c r="T47" s="30"/>
      <c r="U47" s="30"/>
      <c r="V47" s="30"/>
    </row>
    <row r="48" spans="2:22" s="7" customFormat="1" ht="129.75" hidden="1" customHeight="1" x14ac:dyDescent="0.25">
      <c r="B48" s="32" t="s">
        <v>218</v>
      </c>
      <c r="C48" s="32" t="s">
        <v>579</v>
      </c>
      <c r="D48" s="45" t="s">
        <v>571</v>
      </c>
      <c r="E48" s="45" t="s">
        <v>512</v>
      </c>
      <c r="F48" s="45" t="s">
        <v>548</v>
      </c>
      <c r="G48" s="45" t="s">
        <v>543</v>
      </c>
      <c r="H48" s="45" t="s">
        <v>575</v>
      </c>
      <c r="I48" s="32" t="s">
        <v>467</v>
      </c>
      <c r="J48" s="32" t="s">
        <v>468</v>
      </c>
      <c r="K48" s="32" t="s">
        <v>47</v>
      </c>
      <c r="L48" s="32">
        <v>102941.18</v>
      </c>
      <c r="M48" s="32">
        <v>15441.18</v>
      </c>
      <c r="N48" s="32">
        <v>0</v>
      </c>
      <c r="O48" s="32">
        <v>0</v>
      </c>
      <c r="P48" s="32">
        <v>0</v>
      </c>
      <c r="Q48" s="32">
        <v>87500</v>
      </c>
      <c r="R48" s="32">
        <v>0</v>
      </c>
      <c r="S48" s="47" t="s">
        <v>665</v>
      </c>
      <c r="T48" s="47" t="s">
        <v>664</v>
      </c>
      <c r="U48" s="47" t="s">
        <v>491</v>
      </c>
      <c r="V48" s="47">
        <v>2020</v>
      </c>
    </row>
    <row r="49" spans="2:22" s="7" customFormat="1" ht="140.25" hidden="1" x14ac:dyDescent="0.25">
      <c r="B49" s="32" t="s">
        <v>220</v>
      </c>
      <c r="C49" s="32" t="s">
        <v>580</v>
      </c>
      <c r="D49" s="45" t="s">
        <v>221</v>
      </c>
      <c r="E49" s="45" t="s">
        <v>478</v>
      </c>
      <c r="F49" s="45" t="s">
        <v>548</v>
      </c>
      <c r="G49" s="45" t="s">
        <v>479</v>
      </c>
      <c r="H49" s="45" t="s">
        <v>575</v>
      </c>
      <c r="I49" s="32" t="s">
        <v>467</v>
      </c>
      <c r="J49" s="32" t="s">
        <v>468</v>
      </c>
      <c r="K49" s="32" t="s">
        <v>47</v>
      </c>
      <c r="L49" s="32">
        <v>322662</v>
      </c>
      <c r="M49" s="32">
        <v>57540</v>
      </c>
      <c r="N49" s="32">
        <v>100000</v>
      </c>
      <c r="O49" s="32">
        <v>0</v>
      </c>
      <c r="P49" s="32">
        <v>0</v>
      </c>
      <c r="Q49" s="32">
        <v>165122</v>
      </c>
      <c r="R49" s="32">
        <v>0</v>
      </c>
      <c r="S49" s="47" t="s">
        <v>578</v>
      </c>
      <c r="T49" s="47" t="s">
        <v>500</v>
      </c>
      <c r="U49" s="47" t="s">
        <v>486</v>
      </c>
      <c r="V49" s="47">
        <v>2020</v>
      </c>
    </row>
    <row r="50" spans="2:22" s="7" customFormat="1" ht="102" hidden="1" x14ac:dyDescent="0.25">
      <c r="B50" s="32" t="s">
        <v>222</v>
      </c>
      <c r="C50" s="32" t="s">
        <v>581</v>
      </c>
      <c r="D50" s="45" t="s">
        <v>572</v>
      </c>
      <c r="E50" s="45" t="s">
        <v>519</v>
      </c>
      <c r="F50" s="45" t="s">
        <v>548</v>
      </c>
      <c r="G50" s="45" t="s">
        <v>520</v>
      </c>
      <c r="H50" s="45" t="s">
        <v>575</v>
      </c>
      <c r="I50" s="32" t="s">
        <v>467</v>
      </c>
      <c r="J50" s="32" t="s">
        <v>468</v>
      </c>
      <c r="K50" s="32" t="s">
        <v>47</v>
      </c>
      <c r="L50" s="32">
        <v>84289</v>
      </c>
      <c r="M50" s="32">
        <v>12644</v>
      </c>
      <c r="N50" s="32">
        <v>0</v>
      </c>
      <c r="O50" s="32">
        <v>0</v>
      </c>
      <c r="P50" s="32">
        <v>0</v>
      </c>
      <c r="Q50" s="32">
        <v>71645</v>
      </c>
      <c r="R50" s="32">
        <v>0</v>
      </c>
      <c r="S50" s="47" t="s">
        <v>499</v>
      </c>
      <c r="T50" s="47" t="s">
        <v>495</v>
      </c>
      <c r="U50" s="47" t="s">
        <v>496</v>
      </c>
      <c r="V50" s="47">
        <v>2019</v>
      </c>
    </row>
    <row r="51" spans="2:22" s="7" customFormat="1" ht="89.25" hidden="1" x14ac:dyDescent="0.25">
      <c r="B51" s="32" t="s">
        <v>574</v>
      </c>
      <c r="C51" s="32" t="s">
        <v>582</v>
      </c>
      <c r="D51" s="45" t="s">
        <v>573</v>
      </c>
      <c r="E51" s="45" t="s">
        <v>481</v>
      </c>
      <c r="F51" s="45" t="s">
        <v>576</v>
      </c>
      <c r="G51" s="45" t="s">
        <v>482</v>
      </c>
      <c r="H51" s="45" t="s">
        <v>575</v>
      </c>
      <c r="I51" s="32" t="s">
        <v>475</v>
      </c>
      <c r="J51" s="32" t="s">
        <v>476</v>
      </c>
      <c r="K51" s="32" t="s">
        <v>477</v>
      </c>
      <c r="L51" s="32">
        <v>83865</v>
      </c>
      <c r="M51" s="32">
        <v>12580</v>
      </c>
      <c r="N51" s="32">
        <v>0</v>
      </c>
      <c r="O51" s="32">
        <v>0</v>
      </c>
      <c r="P51" s="32">
        <v>0</v>
      </c>
      <c r="Q51" s="32">
        <v>71285</v>
      </c>
      <c r="R51" s="32">
        <v>0</v>
      </c>
      <c r="S51" s="47" t="s">
        <v>490</v>
      </c>
      <c r="T51" s="47" t="s">
        <v>556</v>
      </c>
      <c r="U51" s="47" t="s">
        <v>496</v>
      </c>
      <c r="V51" s="47">
        <v>2019</v>
      </c>
    </row>
    <row r="52" spans="2:22" s="7" customFormat="1" ht="51" hidden="1" x14ac:dyDescent="0.25">
      <c r="B52" s="30" t="s">
        <v>226</v>
      </c>
      <c r="C52" s="30"/>
      <c r="D52" s="30" t="s">
        <v>227</v>
      </c>
      <c r="E52" s="30"/>
      <c r="F52" s="30"/>
      <c r="G52" s="30"/>
      <c r="H52" s="30"/>
      <c r="I52" s="30"/>
      <c r="J52" s="30"/>
      <c r="K52" s="30"/>
      <c r="L52" s="30"/>
      <c r="M52" s="30"/>
      <c r="N52" s="30"/>
      <c r="O52" s="30"/>
      <c r="P52" s="30"/>
      <c r="Q52" s="30"/>
      <c r="R52" s="30"/>
      <c r="S52" s="30"/>
      <c r="T52" s="30"/>
      <c r="U52" s="30"/>
      <c r="V52" s="30"/>
    </row>
    <row r="53" spans="2:22" s="7" customFormat="1" ht="63.75" hidden="1" customHeight="1" x14ac:dyDescent="0.25">
      <c r="B53" s="68" t="s">
        <v>228</v>
      </c>
      <c r="C53" s="68" t="s">
        <v>594</v>
      </c>
      <c r="D53" s="59" t="s">
        <v>583</v>
      </c>
      <c r="E53" s="59" t="s">
        <v>478</v>
      </c>
      <c r="F53" s="59" t="s">
        <v>548</v>
      </c>
      <c r="G53" s="59" t="s">
        <v>479</v>
      </c>
      <c r="H53" s="59" t="s">
        <v>584</v>
      </c>
      <c r="I53" s="68" t="s">
        <v>467</v>
      </c>
      <c r="J53" s="68" t="s">
        <v>468</v>
      </c>
      <c r="K53" s="68" t="s">
        <v>47</v>
      </c>
      <c r="L53" s="68">
        <v>567059</v>
      </c>
      <c r="M53" s="68">
        <v>85059</v>
      </c>
      <c r="N53" s="68">
        <v>0</v>
      </c>
      <c r="O53" s="68">
        <v>0</v>
      </c>
      <c r="P53" s="68">
        <v>0</v>
      </c>
      <c r="Q53" s="68">
        <v>482000</v>
      </c>
      <c r="R53" s="68">
        <v>0</v>
      </c>
      <c r="S53" s="69">
        <v>2016</v>
      </c>
      <c r="T53" s="69">
        <v>2017</v>
      </c>
      <c r="U53" s="69" t="s">
        <v>502</v>
      </c>
      <c r="V53" s="69">
        <v>2019</v>
      </c>
    </row>
    <row r="54" spans="2:22" s="7" customFormat="1" ht="53.25" hidden="1" customHeight="1" x14ac:dyDescent="0.25">
      <c r="B54" s="32" t="s">
        <v>230</v>
      </c>
      <c r="C54" s="32" t="s">
        <v>595</v>
      </c>
      <c r="D54" s="45" t="s">
        <v>231</v>
      </c>
      <c r="E54" s="45" t="s">
        <v>515</v>
      </c>
      <c r="F54" s="45" t="s">
        <v>548</v>
      </c>
      <c r="G54" s="45" t="s">
        <v>555</v>
      </c>
      <c r="H54" s="45" t="s">
        <v>585</v>
      </c>
      <c r="I54" s="32" t="s">
        <v>467</v>
      </c>
      <c r="J54" s="32" t="s">
        <v>468</v>
      </c>
      <c r="K54" s="32" t="s">
        <v>47</v>
      </c>
      <c r="L54" s="32">
        <v>50000</v>
      </c>
      <c r="M54" s="32">
        <v>7500</v>
      </c>
      <c r="N54" s="32"/>
      <c r="O54" s="32"/>
      <c r="P54" s="32"/>
      <c r="Q54" s="32">
        <v>42500</v>
      </c>
      <c r="R54" s="32">
        <v>0</v>
      </c>
      <c r="S54" s="47" t="s">
        <v>586</v>
      </c>
      <c r="T54" s="47" t="s">
        <v>525</v>
      </c>
      <c r="U54" s="47" t="s">
        <v>593</v>
      </c>
      <c r="V54" s="47">
        <v>2016</v>
      </c>
    </row>
    <row r="55" spans="2:22" s="7" customFormat="1" ht="51.75" hidden="1" customHeight="1" x14ac:dyDescent="0.25">
      <c r="B55" s="32" t="s">
        <v>232</v>
      </c>
      <c r="C55" s="32" t="s">
        <v>596</v>
      </c>
      <c r="D55" s="45" t="s">
        <v>587</v>
      </c>
      <c r="E55" s="45" t="s">
        <v>515</v>
      </c>
      <c r="F55" s="45" t="s">
        <v>548</v>
      </c>
      <c r="G55" s="45" t="s">
        <v>516</v>
      </c>
      <c r="H55" s="45" t="s">
        <v>588</v>
      </c>
      <c r="I55" s="32" t="s">
        <v>467</v>
      </c>
      <c r="J55" s="32" t="s">
        <v>468</v>
      </c>
      <c r="K55" s="32" t="s">
        <v>47</v>
      </c>
      <c r="L55" s="32">
        <v>1158824</v>
      </c>
      <c r="M55" s="32">
        <v>173824</v>
      </c>
      <c r="N55" s="32">
        <v>0</v>
      </c>
      <c r="O55" s="32">
        <v>0</v>
      </c>
      <c r="P55" s="32">
        <v>0</v>
      </c>
      <c r="Q55" s="32">
        <v>985000</v>
      </c>
      <c r="R55" s="32">
        <v>0</v>
      </c>
      <c r="S55" s="47">
        <v>2017</v>
      </c>
      <c r="T55" s="47">
        <v>2017</v>
      </c>
      <c r="U55" s="47" t="s">
        <v>502</v>
      </c>
      <c r="V55" s="47">
        <v>2018</v>
      </c>
    </row>
    <row r="56" spans="2:22" s="7" customFormat="1" ht="63" hidden="1" customHeight="1" x14ac:dyDescent="0.25">
      <c r="B56" s="32" t="s">
        <v>234</v>
      </c>
      <c r="C56" s="32" t="s">
        <v>597</v>
      </c>
      <c r="D56" s="45" t="s">
        <v>235</v>
      </c>
      <c r="E56" s="45" t="s">
        <v>589</v>
      </c>
      <c r="F56" s="45" t="s">
        <v>548</v>
      </c>
      <c r="G56" s="45" t="s">
        <v>553</v>
      </c>
      <c r="H56" s="45" t="s">
        <v>590</v>
      </c>
      <c r="I56" s="32" t="s">
        <v>518</v>
      </c>
      <c r="J56" s="32" t="s">
        <v>47</v>
      </c>
      <c r="K56" s="32" t="s">
        <v>47</v>
      </c>
      <c r="L56" s="32">
        <v>15700</v>
      </c>
      <c r="M56" s="47" t="s">
        <v>591</v>
      </c>
      <c r="N56" s="47">
        <v>0</v>
      </c>
      <c r="O56" s="47">
        <v>0</v>
      </c>
      <c r="P56" s="47">
        <v>0</v>
      </c>
      <c r="Q56" s="32">
        <v>13345</v>
      </c>
      <c r="R56" s="32">
        <v>0</v>
      </c>
      <c r="S56" s="47" t="s">
        <v>592</v>
      </c>
      <c r="T56" s="47" t="s">
        <v>493</v>
      </c>
      <c r="U56" s="47" t="s">
        <v>489</v>
      </c>
      <c r="V56" s="47">
        <v>2017</v>
      </c>
    </row>
    <row r="57" spans="2:22" s="7" customFormat="1" ht="61.5" hidden="1" customHeight="1" x14ac:dyDescent="0.25">
      <c r="B57" s="68" t="s">
        <v>236</v>
      </c>
      <c r="C57" s="68" t="s">
        <v>598</v>
      </c>
      <c r="D57" s="59" t="s">
        <v>237</v>
      </c>
      <c r="E57" s="59" t="s">
        <v>478</v>
      </c>
      <c r="F57" s="59" t="s">
        <v>548</v>
      </c>
      <c r="G57" s="59" t="s">
        <v>479</v>
      </c>
      <c r="H57" s="59" t="s">
        <v>590</v>
      </c>
      <c r="I57" s="68"/>
      <c r="J57" s="68"/>
      <c r="K57" s="68"/>
      <c r="L57" s="68">
        <v>10000</v>
      </c>
      <c r="M57" s="68">
        <v>10000</v>
      </c>
      <c r="N57" s="68">
        <v>0</v>
      </c>
      <c r="O57" s="68">
        <v>0</v>
      </c>
      <c r="P57" s="68">
        <v>0</v>
      </c>
      <c r="Q57" s="68">
        <v>0</v>
      </c>
      <c r="R57" s="68">
        <v>0</v>
      </c>
      <c r="S57" s="69"/>
      <c r="T57" s="69"/>
      <c r="U57" s="69"/>
      <c r="V57" s="69">
        <v>2017</v>
      </c>
    </row>
    <row r="58" spans="2:22" s="7" customFormat="1" ht="64.5" hidden="1" customHeight="1" x14ac:dyDescent="0.25">
      <c r="B58" s="30" t="s">
        <v>238</v>
      </c>
      <c r="C58" s="30"/>
      <c r="D58" s="30" t="s">
        <v>239</v>
      </c>
      <c r="E58" s="30"/>
      <c r="F58" s="30"/>
      <c r="G58" s="30"/>
      <c r="H58" s="30"/>
      <c r="I58" s="30"/>
      <c r="J58" s="30"/>
      <c r="K58" s="30"/>
      <c r="L58" s="30"/>
      <c r="M58" s="30"/>
      <c r="N58" s="30"/>
      <c r="O58" s="30"/>
      <c r="P58" s="30"/>
      <c r="Q58" s="30"/>
      <c r="R58" s="30"/>
      <c r="S58" s="30"/>
      <c r="T58" s="30"/>
      <c r="U58" s="30"/>
      <c r="V58" s="30"/>
    </row>
    <row r="59" spans="2:22" s="7" customFormat="1" ht="18.75" hidden="1" customHeight="1" x14ac:dyDescent="0.25">
      <c r="B59" s="92"/>
      <c r="C59" s="92"/>
      <c r="D59" s="93"/>
      <c r="E59" s="93"/>
      <c r="F59" s="93"/>
      <c r="G59" s="93"/>
      <c r="H59" s="93"/>
      <c r="I59" s="92"/>
      <c r="J59" s="92"/>
      <c r="K59" s="92"/>
      <c r="L59" s="92"/>
      <c r="M59" s="92"/>
      <c r="N59" s="92"/>
      <c r="O59" s="92"/>
      <c r="P59" s="92"/>
      <c r="Q59" s="92"/>
      <c r="R59" s="92"/>
      <c r="S59" s="94"/>
      <c r="T59" s="94"/>
      <c r="U59" s="94"/>
      <c r="V59" s="94"/>
    </row>
    <row r="60" spans="2:22" s="7" customFormat="1" ht="75.75" hidden="1" customHeight="1" x14ac:dyDescent="0.25">
      <c r="B60" s="32" t="s">
        <v>240</v>
      </c>
      <c r="C60" s="32" t="s">
        <v>601</v>
      </c>
      <c r="D60" s="45" t="s">
        <v>600</v>
      </c>
      <c r="E60" s="45" t="s">
        <v>519</v>
      </c>
      <c r="F60" s="45" t="s">
        <v>548</v>
      </c>
      <c r="G60" s="45" t="s">
        <v>553</v>
      </c>
      <c r="H60" s="45" t="s">
        <v>599</v>
      </c>
      <c r="I60" s="32" t="s">
        <v>467</v>
      </c>
      <c r="J60" s="32" t="s">
        <v>47</v>
      </c>
      <c r="K60" s="32" t="s">
        <v>47</v>
      </c>
      <c r="L60" s="32">
        <v>813900</v>
      </c>
      <c r="M60" s="68">
        <v>122085</v>
      </c>
      <c r="N60" s="68">
        <v>0</v>
      </c>
      <c r="O60" s="68">
        <v>0</v>
      </c>
      <c r="P60" s="68">
        <v>0</v>
      </c>
      <c r="Q60" s="68">
        <v>691815</v>
      </c>
      <c r="R60" s="32">
        <v>0</v>
      </c>
      <c r="S60" s="47" t="s">
        <v>508</v>
      </c>
      <c r="T60" s="47" t="s">
        <v>556</v>
      </c>
      <c r="U60" s="47" t="s">
        <v>496</v>
      </c>
      <c r="V60" s="47">
        <v>2019</v>
      </c>
    </row>
    <row r="61" spans="2:22" s="7" customFormat="1" ht="43.5" hidden="1" customHeight="1" x14ac:dyDescent="0.25">
      <c r="B61" s="70" t="s">
        <v>972</v>
      </c>
      <c r="C61" s="70"/>
      <c r="D61" s="70" t="s">
        <v>973</v>
      </c>
      <c r="E61" s="70"/>
      <c r="F61" s="70"/>
      <c r="G61" s="70"/>
      <c r="H61" s="70"/>
      <c r="I61" s="70"/>
      <c r="J61" s="70"/>
      <c r="K61" s="70"/>
      <c r="L61" s="70"/>
      <c r="M61" s="70"/>
      <c r="N61" s="70"/>
      <c r="O61" s="70"/>
      <c r="P61" s="70"/>
      <c r="Q61" s="70"/>
      <c r="R61" s="70"/>
      <c r="S61" s="70"/>
      <c r="T61" s="70"/>
      <c r="U61" s="70"/>
      <c r="V61" s="70"/>
    </row>
    <row r="62" spans="2:22" s="7" customFormat="1" ht="76.5" hidden="1" customHeight="1" x14ac:dyDescent="0.25">
      <c r="B62" s="12" t="s">
        <v>242</v>
      </c>
      <c r="C62" s="33"/>
      <c r="D62" s="44" t="s">
        <v>243</v>
      </c>
      <c r="E62" s="33"/>
      <c r="F62" s="12"/>
      <c r="G62" s="33"/>
      <c r="H62" s="44"/>
      <c r="I62" s="33"/>
      <c r="J62" s="12"/>
      <c r="K62" s="33"/>
      <c r="L62" s="44"/>
      <c r="M62" s="33"/>
      <c r="N62" s="12"/>
      <c r="O62" s="33"/>
      <c r="P62" s="44"/>
      <c r="Q62" s="33"/>
      <c r="R62" s="12"/>
      <c r="S62" s="33"/>
      <c r="T62" s="44"/>
      <c r="U62" s="33"/>
      <c r="V62" s="12"/>
    </row>
    <row r="63" spans="2:22" s="7" customFormat="1" ht="63.75" hidden="1" x14ac:dyDescent="0.25">
      <c r="B63" s="28" t="s">
        <v>244</v>
      </c>
      <c r="C63" s="28"/>
      <c r="D63" s="28" t="s">
        <v>245</v>
      </c>
      <c r="E63" s="28"/>
      <c r="F63" s="28"/>
      <c r="G63" s="28"/>
      <c r="H63" s="28"/>
      <c r="I63" s="28"/>
      <c r="J63" s="28"/>
      <c r="K63" s="28"/>
      <c r="L63" s="28"/>
      <c r="M63" s="28"/>
      <c r="N63" s="28"/>
      <c r="O63" s="28"/>
      <c r="P63" s="28"/>
      <c r="Q63" s="28"/>
      <c r="R63" s="28"/>
      <c r="S63" s="28"/>
      <c r="T63" s="28"/>
      <c r="U63" s="28"/>
      <c r="V63" s="28"/>
    </row>
    <row r="64" spans="2:22" s="7" customFormat="1" ht="63.75" hidden="1" x14ac:dyDescent="0.25">
      <c r="B64" s="30" t="s">
        <v>246</v>
      </c>
      <c r="C64" s="30"/>
      <c r="D64" s="30" t="s">
        <v>247</v>
      </c>
      <c r="E64" s="30"/>
      <c r="F64" s="30"/>
      <c r="G64" s="30"/>
      <c r="H64" s="30"/>
      <c r="I64" s="30"/>
      <c r="J64" s="30"/>
      <c r="K64" s="30"/>
      <c r="L64" s="30"/>
      <c r="M64" s="30"/>
      <c r="N64" s="30"/>
      <c r="O64" s="30"/>
      <c r="P64" s="30"/>
      <c r="Q64" s="30"/>
      <c r="R64" s="30"/>
      <c r="S64" s="30"/>
      <c r="T64" s="30"/>
      <c r="U64" s="30"/>
      <c r="V64" s="30"/>
    </row>
    <row r="65" spans="2:22" s="7" customFormat="1" ht="102" hidden="1" x14ac:dyDescent="0.25">
      <c r="B65" s="32" t="s">
        <v>248</v>
      </c>
      <c r="C65" s="32" t="s">
        <v>614</v>
      </c>
      <c r="D65" s="45" t="s">
        <v>249</v>
      </c>
      <c r="E65" s="45" t="s">
        <v>463</v>
      </c>
      <c r="F65" s="45" t="s">
        <v>602</v>
      </c>
      <c r="G65" s="45" t="s">
        <v>465</v>
      </c>
      <c r="H65" s="45" t="s">
        <v>603</v>
      </c>
      <c r="I65" s="32" t="s">
        <v>467</v>
      </c>
      <c r="J65" s="32" t="s">
        <v>468</v>
      </c>
      <c r="K65" s="32" t="s">
        <v>47</v>
      </c>
      <c r="L65" s="32">
        <v>511094</v>
      </c>
      <c r="M65" s="32">
        <v>76664</v>
      </c>
      <c r="N65" s="32">
        <v>0</v>
      </c>
      <c r="O65" s="32">
        <v>0</v>
      </c>
      <c r="P65" s="32">
        <v>0</v>
      </c>
      <c r="Q65" s="32">
        <v>434430</v>
      </c>
      <c r="R65" s="32">
        <v>0</v>
      </c>
      <c r="S65" s="47" t="s">
        <v>507</v>
      </c>
      <c r="T65" s="47" t="s">
        <v>489</v>
      </c>
      <c r="U65" s="47" t="s">
        <v>490</v>
      </c>
      <c r="V65" s="47">
        <v>2018</v>
      </c>
    </row>
    <row r="66" spans="2:22" s="7" customFormat="1" ht="114" hidden="1" customHeight="1" x14ac:dyDescent="0.25">
      <c r="B66" s="32" t="s">
        <v>250</v>
      </c>
      <c r="C66" s="32" t="s">
        <v>615</v>
      </c>
      <c r="D66" s="45" t="s">
        <v>251</v>
      </c>
      <c r="E66" s="45" t="s">
        <v>604</v>
      </c>
      <c r="F66" s="45" t="s">
        <v>605</v>
      </c>
      <c r="G66" s="45" t="s">
        <v>606</v>
      </c>
      <c r="H66" s="45" t="s">
        <v>607</v>
      </c>
      <c r="I66" s="32" t="s">
        <v>475</v>
      </c>
      <c r="J66" s="32" t="s">
        <v>476</v>
      </c>
      <c r="K66" s="32" t="s">
        <v>477</v>
      </c>
      <c r="L66" s="32">
        <v>282956.7</v>
      </c>
      <c r="M66" s="32">
        <v>42443.51</v>
      </c>
      <c r="N66" s="32">
        <v>0</v>
      </c>
      <c r="O66" s="32">
        <v>0</v>
      </c>
      <c r="P66" s="32">
        <v>0</v>
      </c>
      <c r="Q66" s="32">
        <v>240513.19</v>
      </c>
      <c r="R66" s="32">
        <v>0</v>
      </c>
      <c r="S66" s="47" t="s">
        <v>611</v>
      </c>
      <c r="T66" s="47" t="s">
        <v>523</v>
      </c>
      <c r="U66" s="47" t="s">
        <v>612</v>
      </c>
      <c r="V66" s="47">
        <v>2018</v>
      </c>
    </row>
    <row r="67" spans="2:22" s="7" customFormat="1" ht="204" hidden="1" x14ac:dyDescent="0.25">
      <c r="B67" s="32" t="s">
        <v>252</v>
      </c>
      <c r="C67" s="32" t="s">
        <v>616</v>
      </c>
      <c r="D67" s="45" t="s">
        <v>608</v>
      </c>
      <c r="E67" s="45" t="s">
        <v>478</v>
      </c>
      <c r="F67" s="45" t="s">
        <v>602</v>
      </c>
      <c r="G67" s="45" t="s">
        <v>609</v>
      </c>
      <c r="H67" s="45" t="s">
        <v>603</v>
      </c>
      <c r="I67" s="32" t="s">
        <v>467</v>
      </c>
      <c r="J67" s="32" t="s">
        <v>47</v>
      </c>
      <c r="K67" s="32" t="s">
        <v>47</v>
      </c>
      <c r="L67" s="32">
        <v>274660</v>
      </c>
      <c r="M67" s="32">
        <v>39011</v>
      </c>
      <c r="N67" s="32">
        <v>0</v>
      </c>
      <c r="O67" s="32">
        <v>0</v>
      </c>
      <c r="P67" s="32">
        <v>0</v>
      </c>
      <c r="Q67" s="32">
        <v>221058</v>
      </c>
      <c r="R67" s="32">
        <v>0</v>
      </c>
      <c r="S67" s="47" t="s">
        <v>507</v>
      </c>
      <c r="T67" s="47" t="s">
        <v>490</v>
      </c>
      <c r="U67" s="47" t="s">
        <v>504</v>
      </c>
      <c r="V67" s="47">
        <v>2019</v>
      </c>
    </row>
    <row r="68" spans="2:22" s="7" customFormat="1" ht="66.75" hidden="1" customHeight="1" x14ac:dyDescent="0.25">
      <c r="B68" s="32" t="s">
        <v>254</v>
      </c>
      <c r="C68" s="32" t="s">
        <v>617</v>
      </c>
      <c r="D68" s="45" t="s">
        <v>255</v>
      </c>
      <c r="E68" s="45" t="s">
        <v>550</v>
      </c>
      <c r="F68" s="45" t="s">
        <v>602</v>
      </c>
      <c r="G68" s="45" t="s">
        <v>551</v>
      </c>
      <c r="H68" s="45" t="s">
        <v>610</v>
      </c>
      <c r="I68" s="32" t="s">
        <v>467</v>
      </c>
      <c r="J68" s="32" t="s">
        <v>47</v>
      </c>
      <c r="K68" s="32" t="s">
        <v>47</v>
      </c>
      <c r="L68" s="32">
        <v>337022.75</v>
      </c>
      <c r="M68" s="32">
        <v>52302.94</v>
      </c>
      <c r="N68" s="32">
        <v>0</v>
      </c>
      <c r="O68" s="32">
        <v>0</v>
      </c>
      <c r="P68" s="32">
        <v>0</v>
      </c>
      <c r="Q68" s="32">
        <v>284719.81</v>
      </c>
      <c r="R68" s="32">
        <v>0</v>
      </c>
      <c r="S68" s="47" t="s">
        <v>501</v>
      </c>
      <c r="T68" s="47" t="s">
        <v>490</v>
      </c>
      <c r="U68" s="47" t="s">
        <v>504</v>
      </c>
      <c r="V68" s="47" t="s">
        <v>613</v>
      </c>
    </row>
    <row r="69" spans="2:22" s="7" customFormat="1" ht="67.5" hidden="1" customHeight="1" x14ac:dyDescent="0.25">
      <c r="B69" s="28" t="s">
        <v>256</v>
      </c>
      <c r="C69" s="28"/>
      <c r="D69" s="28" t="s">
        <v>257</v>
      </c>
      <c r="E69" s="28"/>
      <c r="F69" s="28"/>
      <c r="G69" s="28"/>
      <c r="H69" s="28"/>
      <c r="I69" s="28"/>
      <c r="J69" s="28"/>
      <c r="K69" s="28"/>
      <c r="L69" s="28"/>
      <c r="M69" s="28"/>
      <c r="N69" s="28"/>
      <c r="O69" s="28"/>
      <c r="P69" s="28"/>
      <c r="Q69" s="28"/>
      <c r="R69" s="28"/>
      <c r="S69" s="28"/>
      <c r="T69" s="28"/>
      <c r="U69" s="28"/>
      <c r="V69" s="28"/>
    </row>
    <row r="70" spans="2:22" s="7" customFormat="1" ht="102" hidden="1" customHeight="1" x14ac:dyDescent="0.25">
      <c r="B70" s="30" t="s">
        <v>258</v>
      </c>
      <c r="C70" s="30"/>
      <c r="D70" s="30" t="s">
        <v>259</v>
      </c>
      <c r="E70" s="30"/>
      <c r="F70" s="30"/>
      <c r="G70" s="30"/>
      <c r="H70" s="30"/>
      <c r="I70" s="30"/>
      <c r="J70" s="30"/>
      <c r="K70" s="30"/>
      <c r="L70" s="30"/>
      <c r="M70" s="30"/>
      <c r="N70" s="30"/>
      <c r="O70" s="30"/>
      <c r="P70" s="30"/>
      <c r="Q70" s="30"/>
      <c r="R70" s="30"/>
      <c r="S70" s="30"/>
      <c r="T70" s="30"/>
      <c r="U70" s="30"/>
      <c r="V70" s="30"/>
    </row>
    <row r="71" spans="2:22" s="7" customFormat="1" ht="324.75" hidden="1" customHeight="1" x14ac:dyDescent="0.25">
      <c r="B71" s="32" t="s">
        <v>260</v>
      </c>
      <c r="C71" s="32" t="s">
        <v>623</v>
      </c>
      <c r="D71" s="45" t="s">
        <v>261</v>
      </c>
      <c r="E71" s="45" t="s">
        <v>618</v>
      </c>
      <c r="F71" s="45" t="s">
        <v>619</v>
      </c>
      <c r="G71" s="45" t="s">
        <v>620</v>
      </c>
      <c r="H71" s="45" t="s">
        <v>913</v>
      </c>
      <c r="I71" s="32" t="s">
        <v>475</v>
      </c>
      <c r="J71" s="32" t="s">
        <v>477</v>
      </c>
      <c r="K71" s="32" t="s">
        <v>477</v>
      </c>
      <c r="L71" s="32">
        <v>298749.28000000003</v>
      </c>
      <c r="M71" s="32">
        <v>44812.4</v>
      </c>
      <c r="N71" s="32">
        <v>0</v>
      </c>
      <c r="O71" s="32">
        <v>0</v>
      </c>
      <c r="P71" s="32">
        <v>0</v>
      </c>
      <c r="Q71" s="32">
        <v>253936.89</v>
      </c>
      <c r="R71" s="32">
        <v>0</v>
      </c>
      <c r="S71" s="47" t="s">
        <v>622</v>
      </c>
      <c r="T71" s="47" t="s">
        <v>507</v>
      </c>
      <c r="U71" s="47" t="s">
        <v>505</v>
      </c>
      <c r="V71" s="47">
        <v>2018</v>
      </c>
    </row>
    <row r="72" spans="2:22" s="7" customFormat="1" ht="45" hidden="1" customHeight="1" x14ac:dyDescent="0.25">
      <c r="B72" s="12" t="s">
        <v>636</v>
      </c>
      <c r="C72" s="33"/>
      <c r="D72" s="44" t="s">
        <v>624</v>
      </c>
      <c r="E72" s="33"/>
      <c r="F72" s="12"/>
      <c r="G72" s="33"/>
      <c r="H72" s="44"/>
      <c r="I72" s="33"/>
      <c r="J72" s="12"/>
      <c r="K72" s="33"/>
      <c r="L72" s="44"/>
      <c r="M72" s="33"/>
      <c r="N72" s="12"/>
      <c r="O72" s="33"/>
      <c r="P72" s="44"/>
      <c r="Q72" s="33"/>
      <c r="R72" s="12"/>
      <c r="S72" s="33"/>
      <c r="T72" s="44"/>
      <c r="U72" s="33"/>
      <c r="V72" s="12"/>
    </row>
    <row r="73" spans="2:22" s="7" customFormat="1" ht="95.25" hidden="1" customHeight="1" x14ac:dyDescent="0.25">
      <c r="B73" s="28" t="s">
        <v>264</v>
      </c>
      <c r="C73" s="28"/>
      <c r="D73" s="28" t="s">
        <v>265</v>
      </c>
      <c r="E73" s="28"/>
      <c r="F73" s="28"/>
      <c r="G73" s="28"/>
      <c r="H73" s="28" t="s">
        <v>299</v>
      </c>
      <c r="I73" s="28"/>
      <c r="J73" s="28"/>
      <c r="K73" s="28"/>
      <c r="L73" s="28"/>
      <c r="M73" s="28"/>
      <c r="N73" s="28"/>
      <c r="O73" s="28"/>
      <c r="P73" s="28"/>
      <c r="Q73" s="28"/>
      <c r="R73" s="28"/>
      <c r="S73" s="28"/>
      <c r="T73" s="28"/>
      <c r="U73" s="28"/>
      <c r="V73" s="28"/>
    </row>
    <row r="74" spans="2:22" s="7" customFormat="1" ht="117" customHeight="1" x14ac:dyDescent="0.25">
      <c r="B74" s="30" t="s">
        <v>266</v>
      </c>
      <c r="C74" s="30"/>
      <c r="D74" s="30" t="s">
        <v>267</v>
      </c>
      <c r="E74" s="30"/>
      <c r="F74" s="30"/>
      <c r="G74" s="30"/>
      <c r="H74" s="30"/>
      <c r="I74" s="30"/>
      <c r="J74" s="30"/>
      <c r="K74" s="30"/>
      <c r="L74" s="30"/>
      <c r="M74" s="30"/>
      <c r="N74" s="30"/>
      <c r="O74" s="30"/>
      <c r="P74" s="30"/>
      <c r="Q74" s="30"/>
      <c r="R74" s="30"/>
      <c r="S74" s="30"/>
      <c r="T74" s="30"/>
      <c r="U74" s="30"/>
      <c r="V74" s="30"/>
    </row>
    <row r="75" spans="2:22" s="7" customFormat="1" ht="68.25" hidden="1" customHeight="1" x14ac:dyDescent="0.25">
      <c r="B75" s="32" t="s">
        <v>268</v>
      </c>
      <c r="C75" s="32" t="s">
        <v>638</v>
      </c>
      <c r="D75" s="45" t="s">
        <v>625</v>
      </c>
      <c r="E75" s="45" t="s">
        <v>626</v>
      </c>
      <c r="F75" s="45" t="s">
        <v>627</v>
      </c>
      <c r="G75" s="45" t="s">
        <v>543</v>
      </c>
      <c r="H75" s="45" t="s">
        <v>628</v>
      </c>
      <c r="I75" s="32" t="s">
        <v>467</v>
      </c>
      <c r="J75" s="32"/>
      <c r="K75" s="32" t="s">
        <v>47</v>
      </c>
      <c r="L75" s="32">
        <v>1685986.17</v>
      </c>
      <c r="M75" s="32">
        <v>0</v>
      </c>
      <c r="N75" s="32">
        <v>0</v>
      </c>
      <c r="O75" s="32">
        <v>896977.39</v>
      </c>
      <c r="P75" s="32">
        <v>0</v>
      </c>
      <c r="Q75" s="32">
        <v>789008.78</v>
      </c>
      <c r="R75" s="32">
        <v>0</v>
      </c>
      <c r="S75" s="47" t="s">
        <v>593</v>
      </c>
      <c r="T75" s="47" t="s">
        <v>493</v>
      </c>
      <c r="U75" s="47" t="s">
        <v>501</v>
      </c>
      <c r="V75" s="47">
        <v>2019</v>
      </c>
    </row>
    <row r="76" spans="2:22" s="7" customFormat="1" ht="93" hidden="1" customHeight="1" x14ac:dyDescent="0.25">
      <c r="B76" s="32" t="s">
        <v>270</v>
      </c>
      <c r="C76" s="32" t="s">
        <v>979</v>
      </c>
      <c r="D76" s="45" t="s">
        <v>629</v>
      </c>
      <c r="E76" s="45" t="s">
        <v>630</v>
      </c>
      <c r="F76" s="45" t="s">
        <v>627</v>
      </c>
      <c r="G76" s="45" t="s">
        <v>551</v>
      </c>
      <c r="H76" s="45" t="s">
        <v>628</v>
      </c>
      <c r="I76" s="32" t="s">
        <v>467</v>
      </c>
      <c r="J76" s="32"/>
      <c r="K76" s="32" t="s">
        <v>47</v>
      </c>
      <c r="L76" s="68">
        <v>1229574.68</v>
      </c>
      <c r="M76" s="68">
        <v>77088.759999999995</v>
      </c>
      <c r="N76" s="68">
        <v>0</v>
      </c>
      <c r="O76" s="68">
        <v>328651.52000000002</v>
      </c>
      <c r="P76" s="68">
        <v>0</v>
      </c>
      <c r="Q76" s="68">
        <v>823834.4</v>
      </c>
      <c r="R76" s="68">
        <v>0</v>
      </c>
      <c r="S76" s="69" t="s">
        <v>526</v>
      </c>
      <c r="T76" s="69" t="s">
        <v>545</v>
      </c>
      <c r="U76" s="69" t="s">
        <v>505</v>
      </c>
      <c r="V76" s="47">
        <v>2019</v>
      </c>
    </row>
    <row r="77" spans="2:22" s="7" customFormat="1" ht="51.75" hidden="1" customHeight="1" x14ac:dyDescent="0.25">
      <c r="B77" s="32" t="s">
        <v>272</v>
      </c>
      <c r="C77" s="32" t="s">
        <v>639</v>
      </c>
      <c r="D77" s="45" t="s">
        <v>273</v>
      </c>
      <c r="E77" s="45" t="s">
        <v>631</v>
      </c>
      <c r="F77" s="45" t="s">
        <v>627</v>
      </c>
      <c r="G77" s="45" t="s">
        <v>516</v>
      </c>
      <c r="H77" s="45" t="s">
        <v>628</v>
      </c>
      <c r="I77" s="32" t="s">
        <v>467</v>
      </c>
      <c r="J77" s="32" t="s">
        <v>468</v>
      </c>
      <c r="K77" s="32" t="s">
        <v>47</v>
      </c>
      <c r="L77" s="32">
        <v>3765060</v>
      </c>
      <c r="M77" s="32">
        <v>0</v>
      </c>
      <c r="N77" s="32">
        <v>0</v>
      </c>
      <c r="O77" s="32">
        <v>2047827</v>
      </c>
      <c r="P77" s="32">
        <v>0</v>
      </c>
      <c r="Q77" s="32">
        <v>1717232.99</v>
      </c>
      <c r="R77" s="32">
        <v>0</v>
      </c>
      <c r="S77" s="47" t="s">
        <v>593</v>
      </c>
      <c r="T77" s="47" t="s">
        <v>637</v>
      </c>
      <c r="U77" s="47" t="s">
        <v>622</v>
      </c>
      <c r="V77" s="47">
        <v>2018</v>
      </c>
    </row>
    <row r="78" spans="2:22" s="7" customFormat="1" ht="89.25" hidden="1" customHeight="1" x14ac:dyDescent="0.25">
      <c r="B78" s="32" t="s">
        <v>274</v>
      </c>
      <c r="C78" s="32" t="s">
        <v>976</v>
      </c>
      <c r="D78" s="45" t="s">
        <v>275</v>
      </c>
      <c r="E78" s="45" t="s">
        <v>632</v>
      </c>
      <c r="F78" s="45" t="s">
        <v>627</v>
      </c>
      <c r="G78" s="45" t="s">
        <v>470</v>
      </c>
      <c r="H78" s="45" t="s">
        <v>628</v>
      </c>
      <c r="I78" s="32" t="s">
        <v>467</v>
      </c>
      <c r="J78" s="32" t="s">
        <v>47</v>
      </c>
      <c r="K78" s="32" t="s">
        <v>47</v>
      </c>
      <c r="L78" s="32">
        <v>1695696</v>
      </c>
      <c r="M78" s="32">
        <v>0</v>
      </c>
      <c r="N78" s="32">
        <v>0</v>
      </c>
      <c r="O78" s="32">
        <v>585288</v>
      </c>
      <c r="P78" s="32">
        <v>0</v>
      </c>
      <c r="Q78" s="32">
        <v>1110408</v>
      </c>
      <c r="R78" s="32">
        <v>0</v>
      </c>
      <c r="S78" s="47" t="s">
        <v>521</v>
      </c>
      <c r="T78" s="47" t="s">
        <v>493</v>
      </c>
      <c r="U78" s="47" t="s">
        <v>501</v>
      </c>
      <c r="V78" s="47">
        <v>2019</v>
      </c>
    </row>
    <row r="79" spans="2:22" s="7" customFormat="1" ht="90" hidden="1" customHeight="1" x14ac:dyDescent="0.25">
      <c r="B79" s="32" t="s">
        <v>276</v>
      </c>
      <c r="C79" s="32" t="s">
        <v>977</v>
      </c>
      <c r="D79" s="45" t="s">
        <v>633</v>
      </c>
      <c r="E79" s="45" t="s">
        <v>634</v>
      </c>
      <c r="F79" s="45" t="s">
        <v>627</v>
      </c>
      <c r="G79" s="45" t="s">
        <v>479</v>
      </c>
      <c r="H79" s="45" t="s">
        <v>628</v>
      </c>
      <c r="I79" s="32" t="s">
        <v>467</v>
      </c>
      <c r="J79" s="32" t="s">
        <v>47</v>
      </c>
      <c r="K79" s="32" t="s">
        <v>47</v>
      </c>
      <c r="L79" s="32">
        <v>1959518</v>
      </c>
      <c r="M79" s="32">
        <v>893185.76</v>
      </c>
      <c r="N79" s="32">
        <v>0</v>
      </c>
      <c r="O79" s="32">
        <v>0</v>
      </c>
      <c r="P79" s="32">
        <v>0</v>
      </c>
      <c r="Q79" s="32">
        <v>1066332.24</v>
      </c>
      <c r="R79" s="32">
        <v>0</v>
      </c>
      <c r="S79" s="47" t="s">
        <v>593</v>
      </c>
      <c r="T79" s="47" t="s">
        <v>545</v>
      </c>
      <c r="U79" s="47" t="s">
        <v>501</v>
      </c>
      <c r="V79" s="47">
        <v>2019</v>
      </c>
    </row>
    <row r="80" spans="2:22" s="7" customFormat="1" ht="66" hidden="1" customHeight="1" x14ac:dyDescent="0.25">
      <c r="B80" s="32" t="s">
        <v>278</v>
      </c>
      <c r="C80" s="32" t="s">
        <v>970</v>
      </c>
      <c r="D80" s="59" t="s">
        <v>980</v>
      </c>
      <c r="E80" s="59" t="s">
        <v>635</v>
      </c>
      <c r="F80" s="59" t="s">
        <v>627</v>
      </c>
      <c r="G80" s="59" t="s">
        <v>553</v>
      </c>
      <c r="H80" s="59" t="s">
        <v>628</v>
      </c>
      <c r="I80" s="68" t="s">
        <v>467</v>
      </c>
      <c r="J80" s="68" t="s">
        <v>47</v>
      </c>
      <c r="K80" s="68" t="s">
        <v>47</v>
      </c>
      <c r="L80" s="68">
        <v>2011598.52</v>
      </c>
      <c r="M80" s="68">
        <v>0</v>
      </c>
      <c r="N80" s="68">
        <v>0</v>
      </c>
      <c r="O80" s="81">
        <v>402319.7</v>
      </c>
      <c r="P80" s="68">
        <v>0</v>
      </c>
      <c r="Q80" s="81">
        <v>1609278.82</v>
      </c>
      <c r="R80" s="68">
        <v>0</v>
      </c>
      <c r="S80" s="69" t="s">
        <v>526</v>
      </c>
      <c r="T80" s="69" t="s">
        <v>493</v>
      </c>
      <c r="U80" s="69" t="s">
        <v>501</v>
      </c>
      <c r="V80" s="69">
        <v>2019</v>
      </c>
    </row>
    <row r="81" spans="1:22" s="7" customFormat="1" ht="66" hidden="1" customHeight="1" x14ac:dyDescent="0.25">
      <c r="B81" s="68" t="s">
        <v>981</v>
      </c>
      <c r="C81" s="68" t="s">
        <v>982</v>
      </c>
      <c r="D81" s="59" t="s">
        <v>983</v>
      </c>
      <c r="E81" s="59" t="s">
        <v>984</v>
      </c>
      <c r="F81" s="59" t="s">
        <v>627</v>
      </c>
      <c r="G81" s="59" t="s">
        <v>543</v>
      </c>
      <c r="H81" s="59" t="s">
        <v>628</v>
      </c>
      <c r="I81" s="68" t="s">
        <v>467</v>
      </c>
      <c r="J81" s="68" t="s">
        <v>47</v>
      </c>
      <c r="K81" s="68" t="s">
        <v>47</v>
      </c>
      <c r="L81" s="68">
        <v>338000</v>
      </c>
      <c r="M81" s="68">
        <v>169000</v>
      </c>
      <c r="N81" s="68">
        <v>0</v>
      </c>
      <c r="O81" s="68">
        <v>0</v>
      </c>
      <c r="P81" s="68">
        <v>0</v>
      </c>
      <c r="Q81" s="68">
        <v>169000</v>
      </c>
      <c r="R81" s="68">
        <v>0</v>
      </c>
      <c r="S81" s="69" t="s">
        <v>556</v>
      </c>
      <c r="T81" s="69" t="s">
        <v>664</v>
      </c>
      <c r="U81" s="69" t="s">
        <v>491</v>
      </c>
      <c r="V81" s="69">
        <v>2020</v>
      </c>
    </row>
    <row r="82" spans="1:22" s="7" customFormat="1" ht="66" hidden="1" customHeight="1" x14ac:dyDescent="0.25">
      <c r="B82" s="68" t="s">
        <v>985</v>
      </c>
      <c r="C82" s="68" t="s">
        <v>986</v>
      </c>
      <c r="D82" s="59" t="s">
        <v>987</v>
      </c>
      <c r="E82" s="59" t="s">
        <v>635</v>
      </c>
      <c r="F82" s="59" t="s">
        <v>627</v>
      </c>
      <c r="G82" s="59" t="s">
        <v>553</v>
      </c>
      <c r="H82" s="59" t="s">
        <v>628</v>
      </c>
      <c r="I82" s="68" t="s">
        <v>467</v>
      </c>
      <c r="J82" s="68" t="s">
        <v>47</v>
      </c>
      <c r="K82" s="68" t="s">
        <v>47</v>
      </c>
      <c r="L82" s="68">
        <v>718750</v>
      </c>
      <c r="M82" s="68">
        <v>0</v>
      </c>
      <c r="N82" s="68">
        <v>0</v>
      </c>
      <c r="O82" s="68">
        <v>143750</v>
      </c>
      <c r="P82" s="68">
        <v>0</v>
      </c>
      <c r="Q82" s="68">
        <v>575000</v>
      </c>
      <c r="R82" s="68">
        <v>0</v>
      </c>
      <c r="S82" s="69" t="s">
        <v>495</v>
      </c>
      <c r="T82" s="69" t="s">
        <v>663</v>
      </c>
      <c r="U82" s="69" t="s">
        <v>666</v>
      </c>
      <c r="V82" s="69">
        <v>2020</v>
      </c>
    </row>
    <row r="83" spans="1:22" s="112" customFormat="1" ht="102.75" customHeight="1" x14ac:dyDescent="0.25">
      <c r="B83" s="68" t="s">
        <v>988</v>
      </c>
      <c r="C83" s="68" t="s">
        <v>989</v>
      </c>
      <c r="D83" s="115" t="s">
        <v>1034</v>
      </c>
      <c r="E83" s="115" t="s">
        <v>632</v>
      </c>
      <c r="F83" s="115" t="s">
        <v>627</v>
      </c>
      <c r="G83" s="115" t="s">
        <v>470</v>
      </c>
      <c r="H83" s="115" t="s">
        <v>628</v>
      </c>
      <c r="I83" s="68" t="s">
        <v>467</v>
      </c>
      <c r="J83" s="68" t="s">
        <v>47</v>
      </c>
      <c r="K83" s="68" t="s">
        <v>47</v>
      </c>
      <c r="L83" s="81">
        <v>1430069.8</v>
      </c>
      <c r="M83" s="81">
        <v>0</v>
      </c>
      <c r="N83" s="68">
        <v>0</v>
      </c>
      <c r="O83" s="81">
        <v>967433.8</v>
      </c>
      <c r="P83" s="68">
        <v>0</v>
      </c>
      <c r="Q83" s="68">
        <v>462636</v>
      </c>
      <c r="R83" s="68">
        <v>0</v>
      </c>
      <c r="S83" s="69" t="s">
        <v>556</v>
      </c>
      <c r="T83" s="69" t="s">
        <v>664</v>
      </c>
      <c r="U83" s="69" t="s">
        <v>491</v>
      </c>
      <c r="V83" s="69">
        <v>2020</v>
      </c>
    </row>
    <row r="84" spans="1:22" s="112" customFormat="1" ht="101.25" customHeight="1" x14ac:dyDescent="0.25">
      <c r="A84" s="112" t="s">
        <v>299</v>
      </c>
      <c r="B84" s="68" t="s">
        <v>992</v>
      </c>
      <c r="C84" s="68" t="s">
        <v>993</v>
      </c>
      <c r="D84" s="115" t="s">
        <v>991</v>
      </c>
      <c r="E84" s="115" t="s">
        <v>630</v>
      </c>
      <c r="F84" s="115" t="s">
        <v>627</v>
      </c>
      <c r="G84" s="115" t="s">
        <v>551</v>
      </c>
      <c r="H84" s="115" t="s">
        <v>628</v>
      </c>
      <c r="I84" s="68" t="s">
        <v>467</v>
      </c>
      <c r="J84" s="68" t="s">
        <v>47</v>
      </c>
      <c r="K84" s="68" t="s">
        <v>47</v>
      </c>
      <c r="L84" s="81">
        <v>677199.48</v>
      </c>
      <c r="M84" s="81">
        <v>271961.78000000003</v>
      </c>
      <c r="N84" s="68">
        <v>0</v>
      </c>
      <c r="O84" s="68">
        <v>30237.7</v>
      </c>
      <c r="P84" s="68">
        <v>0</v>
      </c>
      <c r="Q84" s="68">
        <v>375000</v>
      </c>
      <c r="R84" s="68"/>
      <c r="S84" s="69" t="s">
        <v>556</v>
      </c>
      <c r="T84" s="69" t="s">
        <v>664</v>
      </c>
      <c r="U84" s="69" t="s">
        <v>491</v>
      </c>
      <c r="V84" s="69">
        <v>2021</v>
      </c>
    </row>
    <row r="85" spans="1:22" s="7" customFormat="1" ht="56.25" hidden="1" customHeight="1" x14ac:dyDescent="0.25">
      <c r="B85" s="30" t="s">
        <v>279</v>
      </c>
      <c r="C85" s="30"/>
      <c r="D85" s="30" t="s">
        <v>280</v>
      </c>
      <c r="E85" s="30"/>
      <c r="F85" s="30"/>
      <c r="G85" s="30"/>
      <c r="H85" s="30"/>
      <c r="I85" s="30"/>
      <c r="J85" s="30"/>
      <c r="K85" s="30"/>
      <c r="L85" s="30"/>
      <c r="M85" s="30"/>
      <c r="N85" s="30"/>
      <c r="O85" s="30"/>
      <c r="P85" s="30"/>
      <c r="Q85" s="30"/>
      <c r="R85" s="30"/>
      <c r="S85" s="30"/>
      <c r="T85" s="30"/>
      <c r="U85" s="30"/>
      <c r="V85" s="30"/>
    </row>
    <row r="86" spans="1:22" s="7" customFormat="1" ht="88.5" hidden="1" customHeight="1" x14ac:dyDescent="0.25">
      <c r="B86" s="32" t="s">
        <v>281</v>
      </c>
      <c r="C86" s="32" t="s">
        <v>644</v>
      </c>
      <c r="D86" s="45" t="s">
        <v>282</v>
      </c>
      <c r="E86" s="45" t="s">
        <v>640</v>
      </c>
      <c r="F86" s="45" t="s">
        <v>627</v>
      </c>
      <c r="G86" s="45" t="s">
        <v>520</v>
      </c>
      <c r="H86" s="45" t="s">
        <v>641</v>
      </c>
      <c r="I86" s="32" t="s">
        <v>467</v>
      </c>
      <c r="J86" s="32"/>
      <c r="K86" s="32" t="s">
        <v>47</v>
      </c>
      <c r="L86" s="32">
        <v>1018412.87</v>
      </c>
      <c r="M86" s="32">
        <v>0</v>
      </c>
      <c r="N86" s="32">
        <v>0</v>
      </c>
      <c r="O86" s="32">
        <v>152761.93</v>
      </c>
      <c r="P86" s="32">
        <v>0</v>
      </c>
      <c r="Q86" s="32">
        <v>865650.94</v>
      </c>
      <c r="R86" s="32">
        <v>0</v>
      </c>
      <c r="S86" s="47" t="s">
        <v>526</v>
      </c>
      <c r="T86" s="47" t="s">
        <v>493</v>
      </c>
      <c r="U86" s="47" t="s">
        <v>489</v>
      </c>
      <c r="V86" s="47">
        <v>2019</v>
      </c>
    </row>
    <row r="87" spans="1:22" s="7" customFormat="1" ht="104.25" hidden="1" customHeight="1" x14ac:dyDescent="0.25">
      <c r="B87" s="32" t="s">
        <v>283</v>
      </c>
      <c r="C87" s="32" t="s">
        <v>645</v>
      </c>
      <c r="D87" s="45" t="s">
        <v>284</v>
      </c>
      <c r="E87" s="45" t="s">
        <v>642</v>
      </c>
      <c r="F87" s="45" t="s">
        <v>627</v>
      </c>
      <c r="G87" s="45" t="s">
        <v>555</v>
      </c>
      <c r="H87" s="45" t="s">
        <v>643</v>
      </c>
      <c r="I87" s="32" t="s">
        <v>467</v>
      </c>
      <c r="J87" s="32" t="s">
        <v>468</v>
      </c>
      <c r="K87" s="32" t="s">
        <v>47</v>
      </c>
      <c r="L87" s="32">
        <v>1035231</v>
      </c>
      <c r="M87" s="32">
        <v>155285</v>
      </c>
      <c r="N87" s="32">
        <v>0</v>
      </c>
      <c r="O87" s="32">
        <v>0</v>
      </c>
      <c r="P87" s="32">
        <v>0</v>
      </c>
      <c r="Q87" s="32">
        <v>879946</v>
      </c>
      <c r="R87" s="32">
        <v>0</v>
      </c>
      <c r="S87" s="47" t="s">
        <v>526</v>
      </c>
      <c r="T87" s="47" t="s">
        <v>501</v>
      </c>
      <c r="U87" s="47" t="s">
        <v>505</v>
      </c>
      <c r="V87" s="47">
        <v>2018</v>
      </c>
    </row>
    <row r="88" spans="1:22" s="7" customFormat="1" ht="69" hidden="1" customHeight="1" x14ac:dyDescent="0.25">
      <c r="B88" s="30" t="s">
        <v>285</v>
      </c>
      <c r="C88" s="30"/>
      <c r="D88" s="30" t="s">
        <v>286</v>
      </c>
      <c r="E88" s="30"/>
      <c r="F88" s="30"/>
      <c r="G88" s="30"/>
      <c r="H88" s="30"/>
      <c r="I88" s="30"/>
      <c r="J88" s="30"/>
      <c r="K88" s="30"/>
      <c r="L88" s="30"/>
      <c r="M88" s="30"/>
      <c r="N88" s="30"/>
      <c r="O88" s="30"/>
      <c r="P88" s="30"/>
      <c r="Q88" s="30"/>
      <c r="R88" s="30"/>
      <c r="S88" s="30"/>
      <c r="T88" s="30"/>
      <c r="U88" s="30"/>
      <c r="V88" s="30"/>
    </row>
    <row r="89" spans="1:22" s="7" customFormat="1" ht="63.75" hidden="1" customHeight="1" x14ac:dyDescent="0.25">
      <c r="B89" s="32" t="s">
        <v>287</v>
      </c>
      <c r="C89" s="32" t="s">
        <v>655</v>
      </c>
      <c r="D89" s="45" t="s">
        <v>288</v>
      </c>
      <c r="E89" s="45" t="s">
        <v>515</v>
      </c>
      <c r="F89" s="45" t="s">
        <v>627</v>
      </c>
      <c r="G89" s="45" t="s">
        <v>516</v>
      </c>
      <c r="H89" s="45" t="s">
        <v>646</v>
      </c>
      <c r="I89" s="32" t="s">
        <v>467</v>
      </c>
      <c r="J89" s="32" t="s">
        <v>47</v>
      </c>
      <c r="K89" s="32" t="s">
        <v>47</v>
      </c>
      <c r="L89" s="32">
        <v>670569.16</v>
      </c>
      <c r="M89" s="32">
        <v>165799.16</v>
      </c>
      <c r="N89" s="32">
        <v>0</v>
      </c>
      <c r="O89" s="32">
        <v>0</v>
      </c>
      <c r="P89" s="32">
        <v>0</v>
      </c>
      <c r="Q89" s="32">
        <v>504770</v>
      </c>
      <c r="R89" s="32">
        <v>0</v>
      </c>
      <c r="S89" s="47" t="s">
        <v>545</v>
      </c>
      <c r="T89" s="47" t="s">
        <v>501</v>
      </c>
      <c r="U89" s="47" t="s">
        <v>505</v>
      </c>
      <c r="V89" s="47">
        <v>2018</v>
      </c>
    </row>
    <row r="90" spans="1:22" s="7" customFormat="1" ht="141" hidden="1" customHeight="1" x14ac:dyDescent="0.25">
      <c r="B90" s="32" t="s">
        <v>289</v>
      </c>
      <c r="C90" s="32" t="s">
        <v>656</v>
      </c>
      <c r="D90" s="45" t="s">
        <v>290</v>
      </c>
      <c r="E90" s="45" t="s">
        <v>647</v>
      </c>
      <c r="F90" s="45" t="s">
        <v>627</v>
      </c>
      <c r="G90" s="45" t="s">
        <v>513</v>
      </c>
      <c r="H90" s="45" t="s">
        <v>648</v>
      </c>
      <c r="I90" s="32" t="s">
        <v>467</v>
      </c>
      <c r="J90" s="32"/>
      <c r="K90" s="32" t="s">
        <v>47</v>
      </c>
      <c r="L90" s="32">
        <v>400317.65</v>
      </c>
      <c r="M90" s="32">
        <v>38069.25</v>
      </c>
      <c r="N90" s="32">
        <v>0</v>
      </c>
      <c r="O90" s="32">
        <v>21978.400000000001</v>
      </c>
      <c r="P90" s="32">
        <v>0</v>
      </c>
      <c r="Q90" s="32">
        <v>340270</v>
      </c>
      <c r="R90" s="32">
        <v>0</v>
      </c>
      <c r="S90" s="47" t="s">
        <v>522</v>
      </c>
      <c r="T90" s="47" t="s">
        <v>505</v>
      </c>
      <c r="U90" s="47" t="s">
        <v>653</v>
      </c>
      <c r="V90" s="47">
        <v>2018</v>
      </c>
    </row>
    <row r="91" spans="1:22" s="7" customFormat="1" ht="138.75" hidden="1" customHeight="1" x14ac:dyDescent="0.25">
      <c r="B91" s="32" t="s">
        <v>291</v>
      </c>
      <c r="C91" s="32" t="s">
        <v>657</v>
      </c>
      <c r="D91" s="45" t="s">
        <v>292</v>
      </c>
      <c r="E91" s="45" t="s">
        <v>649</v>
      </c>
      <c r="F91" s="45" t="s">
        <v>627</v>
      </c>
      <c r="G91" s="45" t="s">
        <v>465</v>
      </c>
      <c r="H91" s="45" t="s">
        <v>646</v>
      </c>
      <c r="I91" s="32" t="s">
        <v>467</v>
      </c>
      <c r="J91" s="32" t="s">
        <v>47</v>
      </c>
      <c r="K91" s="32" t="s">
        <v>47</v>
      </c>
      <c r="L91" s="32">
        <v>610906</v>
      </c>
      <c r="M91" s="32">
        <v>85549.48</v>
      </c>
      <c r="N91" s="32">
        <v>0</v>
      </c>
      <c r="O91" s="32">
        <v>0</v>
      </c>
      <c r="P91" s="32">
        <v>6086.52</v>
      </c>
      <c r="Q91" s="32">
        <v>519270</v>
      </c>
      <c r="R91" s="32">
        <v>0</v>
      </c>
      <c r="S91" s="47" t="s">
        <v>654</v>
      </c>
      <c r="T91" s="47" t="s">
        <v>501</v>
      </c>
      <c r="U91" s="47" t="s">
        <v>505</v>
      </c>
      <c r="V91" s="47">
        <v>2018</v>
      </c>
    </row>
    <row r="92" spans="1:22" s="7" customFormat="1" ht="143.25" hidden="1" customHeight="1" x14ac:dyDescent="0.25">
      <c r="B92" s="32" t="s">
        <v>293</v>
      </c>
      <c r="C92" s="32" t="s">
        <v>658</v>
      </c>
      <c r="D92" s="45" t="s">
        <v>294</v>
      </c>
      <c r="E92" s="45" t="s">
        <v>650</v>
      </c>
      <c r="F92" s="45" t="s">
        <v>627</v>
      </c>
      <c r="G92" s="45" t="s">
        <v>479</v>
      </c>
      <c r="H92" s="45" t="s">
        <v>646</v>
      </c>
      <c r="I92" s="32" t="s">
        <v>467</v>
      </c>
      <c r="J92" s="32" t="s">
        <v>47</v>
      </c>
      <c r="K92" s="32" t="s">
        <v>47</v>
      </c>
      <c r="L92" s="32">
        <v>546406</v>
      </c>
      <c r="M92" s="32">
        <v>87136</v>
      </c>
      <c r="N92" s="32">
        <v>0</v>
      </c>
      <c r="O92" s="32">
        <v>0</v>
      </c>
      <c r="P92" s="32">
        <v>0</v>
      </c>
      <c r="Q92" s="32">
        <v>459270</v>
      </c>
      <c r="R92" s="32">
        <v>0</v>
      </c>
      <c r="S92" s="47" t="s">
        <v>522</v>
      </c>
      <c r="T92" s="47" t="s">
        <v>508</v>
      </c>
      <c r="U92" s="47" t="s">
        <v>504</v>
      </c>
      <c r="V92" s="47">
        <v>2018</v>
      </c>
    </row>
    <row r="93" spans="1:22" s="7" customFormat="1" ht="143.25" hidden="1" customHeight="1" x14ac:dyDescent="0.25">
      <c r="B93" s="32" t="s">
        <v>295</v>
      </c>
      <c r="C93" s="32" t="s">
        <v>659</v>
      </c>
      <c r="D93" s="45" t="s">
        <v>296</v>
      </c>
      <c r="E93" s="45" t="s">
        <v>651</v>
      </c>
      <c r="F93" s="45" t="s">
        <v>627</v>
      </c>
      <c r="G93" s="45" t="s">
        <v>551</v>
      </c>
      <c r="H93" s="45" t="s">
        <v>646</v>
      </c>
      <c r="I93" s="32" t="s">
        <v>467</v>
      </c>
      <c r="J93" s="32" t="s">
        <v>47</v>
      </c>
      <c r="K93" s="32" t="s">
        <v>47</v>
      </c>
      <c r="L93" s="32">
        <v>569725.67999999993</v>
      </c>
      <c r="M93" s="32">
        <v>76594.84</v>
      </c>
      <c r="N93" s="32">
        <v>0</v>
      </c>
      <c r="O93" s="32">
        <v>8864.02</v>
      </c>
      <c r="P93" s="32">
        <v>0</v>
      </c>
      <c r="Q93" s="32">
        <v>484266.82</v>
      </c>
      <c r="R93" s="32">
        <v>0</v>
      </c>
      <c r="S93" s="47" t="s">
        <v>507</v>
      </c>
      <c r="T93" s="47" t="s">
        <v>490</v>
      </c>
      <c r="U93" s="47" t="s">
        <v>504</v>
      </c>
      <c r="V93" s="47">
        <v>2018</v>
      </c>
    </row>
    <row r="94" spans="1:22" s="7" customFormat="1" ht="76.5" hidden="1" customHeight="1" x14ac:dyDescent="0.25">
      <c r="B94" s="32" t="s">
        <v>297</v>
      </c>
      <c r="C94" s="32" t="s">
        <v>660</v>
      </c>
      <c r="D94" s="45" t="s">
        <v>298</v>
      </c>
      <c r="E94" s="45" t="s">
        <v>519</v>
      </c>
      <c r="F94" s="45" t="s">
        <v>652</v>
      </c>
      <c r="G94" s="45" t="s">
        <v>553</v>
      </c>
      <c r="H94" s="45" t="s">
        <v>646</v>
      </c>
      <c r="I94" s="32" t="s">
        <v>467</v>
      </c>
      <c r="J94" s="32" t="s">
        <v>47</v>
      </c>
      <c r="K94" s="32" t="s">
        <v>47</v>
      </c>
      <c r="L94" s="32">
        <v>616789</v>
      </c>
      <c r="M94" s="32">
        <v>92519</v>
      </c>
      <c r="N94" s="32">
        <v>0</v>
      </c>
      <c r="O94" s="32">
        <v>0</v>
      </c>
      <c r="P94" s="32">
        <v>0</v>
      </c>
      <c r="Q94" s="32">
        <v>524270</v>
      </c>
      <c r="R94" s="32">
        <v>0</v>
      </c>
      <c r="S94" s="47" t="s">
        <v>493</v>
      </c>
      <c r="T94" s="47" t="s">
        <v>490</v>
      </c>
      <c r="U94" s="47" t="s">
        <v>504</v>
      </c>
      <c r="V94" s="47">
        <v>2018</v>
      </c>
    </row>
    <row r="95" spans="1:22" s="7" customFormat="1" ht="42" customHeight="1" x14ac:dyDescent="0.25">
      <c r="B95" s="30" t="s">
        <v>302</v>
      </c>
      <c r="C95" s="30"/>
      <c r="D95" s="30" t="s">
        <v>303</v>
      </c>
      <c r="E95" s="30"/>
      <c r="F95" s="30"/>
      <c r="G95" s="30"/>
      <c r="H95" s="30"/>
      <c r="I95" s="30"/>
      <c r="J95" s="30"/>
      <c r="K95" s="30"/>
      <c r="L95" s="30"/>
      <c r="M95" s="30"/>
      <c r="N95" s="30"/>
      <c r="O95" s="30"/>
      <c r="P95" s="30"/>
      <c r="Q95" s="30"/>
      <c r="R95" s="30"/>
      <c r="S95" s="30"/>
      <c r="T95" s="30"/>
      <c r="U95" s="30"/>
      <c r="V95" s="30"/>
    </row>
    <row r="96" spans="1:22" s="112" customFormat="1" ht="63" hidden="1" customHeight="1" x14ac:dyDescent="0.25">
      <c r="B96" s="32" t="s">
        <v>304</v>
      </c>
      <c r="C96" s="32" t="s">
        <v>667</v>
      </c>
      <c r="D96" s="53" t="s">
        <v>305</v>
      </c>
      <c r="E96" s="53" t="s">
        <v>550</v>
      </c>
      <c r="F96" s="53" t="s">
        <v>627</v>
      </c>
      <c r="G96" s="53" t="s">
        <v>551</v>
      </c>
      <c r="H96" s="53" t="s">
        <v>661</v>
      </c>
      <c r="I96" s="32" t="s">
        <v>467</v>
      </c>
      <c r="J96" s="32" t="s">
        <v>47</v>
      </c>
      <c r="K96" s="32" t="s">
        <v>47</v>
      </c>
      <c r="L96" s="32">
        <v>77618.78</v>
      </c>
      <c r="M96" s="32">
        <v>11642.82</v>
      </c>
      <c r="N96" s="32">
        <v>0</v>
      </c>
      <c r="O96" s="32">
        <v>0</v>
      </c>
      <c r="P96" s="32">
        <v>0</v>
      </c>
      <c r="Q96" s="32">
        <v>65975.960000000006</v>
      </c>
      <c r="R96" s="32">
        <v>0</v>
      </c>
      <c r="S96" s="47" t="s">
        <v>498</v>
      </c>
      <c r="T96" s="47" t="s">
        <v>496</v>
      </c>
      <c r="U96" s="47" t="s">
        <v>663</v>
      </c>
      <c r="V96" s="47">
        <v>2020</v>
      </c>
    </row>
    <row r="97" spans="2:22" s="112" customFormat="1" ht="91.5" hidden="1" customHeight="1" x14ac:dyDescent="0.25">
      <c r="B97" s="32" t="s">
        <v>306</v>
      </c>
      <c r="C97" s="32" t="s">
        <v>668</v>
      </c>
      <c r="D97" s="53" t="s">
        <v>307</v>
      </c>
      <c r="E97" s="53" t="s">
        <v>478</v>
      </c>
      <c r="F97" s="53" t="s">
        <v>627</v>
      </c>
      <c r="G97" s="53" t="s">
        <v>479</v>
      </c>
      <c r="H97" s="53" t="s">
        <v>662</v>
      </c>
      <c r="I97" s="32" t="s">
        <v>467</v>
      </c>
      <c r="J97" s="32"/>
      <c r="K97" s="32"/>
      <c r="L97" s="32">
        <v>383205.9</v>
      </c>
      <c r="M97" s="32">
        <v>57480.9</v>
      </c>
      <c r="N97" s="32">
        <v>0</v>
      </c>
      <c r="O97" s="32">
        <v>0</v>
      </c>
      <c r="P97" s="32">
        <v>0</v>
      </c>
      <c r="Q97" s="32">
        <v>325725</v>
      </c>
      <c r="R97" s="32">
        <v>0</v>
      </c>
      <c r="S97" s="47" t="s">
        <v>622</v>
      </c>
      <c r="T97" s="47" t="s">
        <v>489</v>
      </c>
      <c r="U97" s="47" t="s">
        <v>508</v>
      </c>
      <c r="V97" s="47">
        <v>2019</v>
      </c>
    </row>
    <row r="98" spans="2:22" s="112" customFormat="1" ht="63.75" hidden="1" customHeight="1" x14ac:dyDescent="0.25">
      <c r="B98" s="32" t="s">
        <v>308</v>
      </c>
      <c r="C98" s="32" t="s">
        <v>669</v>
      </c>
      <c r="D98" s="53" t="s">
        <v>309</v>
      </c>
      <c r="E98" s="53" t="s">
        <v>550</v>
      </c>
      <c r="F98" s="53" t="s">
        <v>627</v>
      </c>
      <c r="G98" s="53" t="s">
        <v>551</v>
      </c>
      <c r="H98" s="53" t="s">
        <v>661</v>
      </c>
      <c r="I98" s="32" t="s">
        <v>467</v>
      </c>
      <c r="J98" s="32" t="s">
        <v>47</v>
      </c>
      <c r="K98" s="32" t="s">
        <v>47</v>
      </c>
      <c r="L98" s="32">
        <v>644100</v>
      </c>
      <c r="M98" s="32">
        <v>96615</v>
      </c>
      <c r="N98" s="32">
        <v>0</v>
      </c>
      <c r="O98" s="32">
        <v>0</v>
      </c>
      <c r="P98" s="32">
        <v>0</v>
      </c>
      <c r="Q98" s="32">
        <v>547485</v>
      </c>
      <c r="R98" s="32">
        <v>0</v>
      </c>
      <c r="S98" s="47" t="s">
        <v>545</v>
      </c>
      <c r="T98" s="47" t="s">
        <v>505</v>
      </c>
      <c r="U98" s="47" t="s">
        <v>653</v>
      </c>
      <c r="V98" s="47">
        <v>2020</v>
      </c>
    </row>
    <row r="99" spans="2:22" s="112" customFormat="1" ht="75" hidden="1" customHeight="1" x14ac:dyDescent="0.25">
      <c r="B99" s="32" t="s">
        <v>310</v>
      </c>
      <c r="C99" s="32" t="s">
        <v>670</v>
      </c>
      <c r="D99" s="53" t="s">
        <v>311</v>
      </c>
      <c r="E99" s="53" t="s">
        <v>519</v>
      </c>
      <c r="F99" s="53" t="s">
        <v>627</v>
      </c>
      <c r="G99" s="53" t="s">
        <v>553</v>
      </c>
      <c r="H99" s="53" t="s">
        <v>662</v>
      </c>
      <c r="I99" s="32" t="s">
        <v>467</v>
      </c>
      <c r="J99" s="32"/>
      <c r="K99" s="32"/>
      <c r="L99" s="32">
        <v>591365.71</v>
      </c>
      <c r="M99" s="32">
        <v>88704.87</v>
      </c>
      <c r="N99" s="32">
        <v>0</v>
      </c>
      <c r="O99" s="32">
        <v>0</v>
      </c>
      <c r="P99" s="32">
        <v>0</v>
      </c>
      <c r="Q99" s="32">
        <v>502660.84</v>
      </c>
      <c r="R99" s="32">
        <v>0</v>
      </c>
      <c r="S99" s="47" t="s">
        <v>522</v>
      </c>
      <c r="T99" s="47" t="s">
        <v>489</v>
      </c>
      <c r="U99" s="47" t="s">
        <v>653</v>
      </c>
      <c r="V99" s="47">
        <v>2018</v>
      </c>
    </row>
    <row r="100" spans="2:22" s="112" customFormat="1" ht="129.75" hidden="1" customHeight="1" x14ac:dyDescent="0.25">
      <c r="B100" s="32" t="s">
        <v>312</v>
      </c>
      <c r="C100" s="32" t="s">
        <v>671</v>
      </c>
      <c r="D100" s="53" t="s">
        <v>313</v>
      </c>
      <c r="E100" s="53" t="s">
        <v>463</v>
      </c>
      <c r="F100" s="53" t="s">
        <v>627</v>
      </c>
      <c r="G100" s="53" t="s">
        <v>470</v>
      </c>
      <c r="H100" s="53" t="s">
        <v>661</v>
      </c>
      <c r="I100" s="32" t="s">
        <v>467</v>
      </c>
      <c r="J100" s="32" t="s">
        <v>47</v>
      </c>
      <c r="K100" s="32" t="s">
        <v>47</v>
      </c>
      <c r="L100" s="68">
        <v>238835.47</v>
      </c>
      <c r="M100" s="68">
        <v>35825.33</v>
      </c>
      <c r="N100" s="68">
        <v>0</v>
      </c>
      <c r="O100" s="82">
        <v>0</v>
      </c>
      <c r="P100" s="68">
        <v>0</v>
      </c>
      <c r="Q100" s="68">
        <v>203010.14</v>
      </c>
      <c r="R100" s="68">
        <v>0</v>
      </c>
      <c r="S100" s="69" t="s">
        <v>522</v>
      </c>
      <c r="T100" s="69" t="s">
        <v>545</v>
      </c>
      <c r="U100" s="69" t="s">
        <v>501</v>
      </c>
      <c r="V100" s="69">
        <v>2018</v>
      </c>
    </row>
    <row r="101" spans="2:22" s="112" customFormat="1" ht="79.5" customHeight="1" x14ac:dyDescent="0.25">
      <c r="B101" s="32" t="s">
        <v>314</v>
      </c>
      <c r="C101" s="32" t="s">
        <v>672</v>
      </c>
      <c r="D101" s="53" t="s">
        <v>315</v>
      </c>
      <c r="E101" s="53" t="s">
        <v>463</v>
      </c>
      <c r="F101" s="53" t="s">
        <v>627</v>
      </c>
      <c r="G101" s="53" t="s">
        <v>470</v>
      </c>
      <c r="H101" s="53" t="s">
        <v>661</v>
      </c>
      <c r="I101" s="32" t="s">
        <v>467</v>
      </c>
      <c r="J101" s="32" t="s">
        <v>47</v>
      </c>
      <c r="K101" s="32" t="s">
        <v>47</v>
      </c>
      <c r="L101" s="32">
        <v>180230</v>
      </c>
      <c r="M101" s="32">
        <v>27035</v>
      </c>
      <c r="N101" s="32">
        <v>0</v>
      </c>
      <c r="O101" s="32">
        <v>0</v>
      </c>
      <c r="P101" s="32">
        <v>0</v>
      </c>
      <c r="Q101" s="32">
        <v>153195.03</v>
      </c>
      <c r="R101" s="32">
        <v>0</v>
      </c>
      <c r="S101" s="47" t="s">
        <v>486</v>
      </c>
      <c r="T101" s="47" t="s">
        <v>556</v>
      </c>
      <c r="U101" s="47" t="s">
        <v>496</v>
      </c>
      <c r="V101" s="47">
        <v>2020</v>
      </c>
    </row>
    <row r="102" spans="2:22" s="7" customFormat="1" ht="126" hidden="1" customHeight="1" x14ac:dyDescent="0.25">
      <c r="B102" s="32" t="s">
        <v>316</v>
      </c>
      <c r="C102" s="32" t="s">
        <v>673</v>
      </c>
      <c r="D102" s="45" t="s">
        <v>317</v>
      </c>
      <c r="E102" s="45" t="s">
        <v>515</v>
      </c>
      <c r="F102" s="45" t="s">
        <v>627</v>
      </c>
      <c r="G102" s="45" t="s">
        <v>470</v>
      </c>
      <c r="H102" s="45" t="s">
        <v>661</v>
      </c>
      <c r="I102" s="32" t="s">
        <v>467</v>
      </c>
      <c r="J102" s="32" t="s">
        <v>47</v>
      </c>
      <c r="K102" s="32" t="s">
        <v>47</v>
      </c>
      <c r="L102" s="32">
        <v>470588.24</v>
      </c>
      <c r="M102" s="32">
        <v>70588.240000000005</v>
      </c>
      <c r="N102" s="32">
        <v>0</v>
      </c>
      <c r="O102" s="32">
        <v>0</v>
      </c>
      <c r="P102" s="32">
        <v>0</v>
      </c>
      <c r="Q102" s="32">
        <v>400000</v>
      </c>
      <c r="R102" s="32">
        <v>0</v>
      </c>
      <c r="S102" s="47" t="s">
        <v>556</v>
      </c>
      <c r="T102" s="47" t="s">
        <v>663</v>
      </c>
      <c r="U102" s="47" t="s">
        <v>492</v>
      </c>
      <c r="V102" s="47">
        <v>2020</v>
      </c>
    </row>
    <row r="103" spans="2:22" s="7" customFormat="1" ht="138.75" hidden="1" customHeight="1" x14ac:dyDescent="0.25">
      <c r="B103" s="32" t="s">
        <v>318</v>
      </c>
      <c r="C103" s="32" t="s">
        <v>674</v>
      </c>
      <c r="D103" s="45" t="s">
        <v>319</v>
      </c>
      <c r="E103" s="45" t="s">
        <v>519</v>
      </c>
      <c r="F103" s="45" t="s">
        <v>627</v>
      </c>
      <c r="G103" s="45" t="s">
        <v>470</v>
      </c>
      <c r="H103" s="45" t="s">
        <v>661</v>
      </c>
      <c r="I103" s="32" t="s">
        <v>467</v>
      </c>
      <c r="J103" s="32" t="s">
        <v>47</v>
      </c>
      <c r="K103" s="32" t="s">
        <v>47</v>
      </c>
      <c r="L103" s="32">
        <v>62582.400000000001</v>
      </c>
      <c r="M103" s="32">
        <v>9387.36</v>
      </c>
      <c r="N103" s="32">
        <v>0</v>
      </c>
      <c r="O103" s="32">
        <v>0</v>
      </c>
      <c r="P103" s="32">
        <v>0</v>
      </c>
      <c r="Q103" s="32">
        <v>53195.040000000001</v>
      </c>
      <c r="R103" s="32">
        <v>0</v>
      </c>
      <c r="S103" s="47" t="s">
        <v>556</v>
      </c>
      <c r="T103" s="47" t="s">
        <v>664</v>
      </c>
      <c r="U103" s="47" t="s">
        <v>492</v>
      </c>
      <c r="V103" s="47">
        <v>2020</v>
      </c>
    </row>
    <row r="104" spans="2:22" s="7" customFormat="1" ht="65.25" hidden="1" customHeight="1" x14ac:dyDescent="0.25">
      <c r="B104" s="68" t="s">
        <v>320</v>
      </c>
      <c r="C104" s="68" t="s">
        <v>675</v>
      </c>
      <c r="D104" s="59" t="s">
        <v>321</v>
      </c>
      <c r="E104" s="59" t="s">
        <v>478</v>
      </c>
      <c r="F104" s="59" t="s">
        <v>627</v>
      </c>
      <c r="G104" s="59" t="s">
        <v>479</v>
      </c>
      <c r="H104" s="59" t="s">
        <v>662</v>
      </c>
      <c r="I104" s="68" t="s">
        <v>467</v>
      </c>
      <c r="J104" s="68" t="s">
        <v>47</v>
      </c>
      <c r="K104" s="68" t="s">
        <v>47</v>
      </c>
      <c r="L104" s="68">
        <v>294160.27</v>
      </c>
      <c r="M104" s="68">
        <v>80965.240000000005</v>
      </c>
      <c r="N104" s="68">
        <v>0</v>
      </c>
      <c r="O104" s="68">
        <v>0</v>
      </c>
      <c r="P104" s="68">
        <v>0</v>
      </c>
      <c r="Q104" s="68">
        <v>213195.03</v>
      </c>
      <c r="R104" s="68">
        <v>0</v>
      </c>
      <c r="S104" s="69" t="s">
        <v>503</v>
      </c>
      <c r="T104" s="69" t="s">
        <v>495</v>
      </c>
      <c r="U104" s="69" t="s">
        <v>496</v>
      </c>
      <c r="V104" s="69">
        <v>2021</v>
      </c>
    </row>
    <row r="105" spans="2:22" s="7" customFormat="1" ht="94.5" hidden="1" customHeight="1" x14ac:dyDescent="0.25">
      <c r="B105" s="68" t="s">
        <v>322</v>
      </c>
      <c r="C105" s="68" t="s">
        <v>676</v>
      </c>
      <c r="D105" s="59" t="s">
        <v>323</v>
      </c>
      <c r="E105" s="59" t="s">
        <v>512</v>
      </c>
      <c r="F105" s="59" t="s">
        <v>627</v>
      </c>
      <c r="G105" s="59" t="s">
        <v>479</v>
      </c>
      <c r="H105" s="59" t="s">
        <v>662</v>
      </c>
      <c r="I105" s="68" t="s">
        <v>467</v>
      </c>
      <c r="J105" s="68" t="s">
        <v>47</v>
      </c>
      <c r="K105" s="68" t="s">
        <v>47</v>
      </c>
      <c r="L105" s="68">
        <v>588235.30000000005</v>
      </c>
      <c r="M105" s="68">
        <v>88235.3</v>
      </c>
      <c r="N105" s="68">
        <v>0</v>
      </c>
      <c r="O105" s="68">
        <v>0</v>
      </c>
      <c r="P105" s="68">
        <v>0</v>
      </c>
      <c r="Q105" s="68">
        <v>500000</v>
      </c>
      <c r="R105" s="68">
        <v>0</v>
      </c>
      <c r="S105" s="69" t="s">
        <v>665</v>
      </c>
      <c r="T105" s="69" t="s">
        <v>491</v>
      </c>
      <c r="U105" s="69" t="s">
        <v>666</v>
      </c>
      <c r="V105" s="69">
        <v>2021</v>
      </c>
    </row>
    <row r="106" spans="2:22" s="7" customFormat="1" ht="76.5" hidden="1" customHeight="1" x14ac:dyDescent="0.25">
      <c r="B106" s="97" t="s">
        <v>324</v>
      </c>
      <c r="C106" s="98"/>
      <c r="D106" s="99" t="s">
        <v>325</v>
      </c>
      <c r="E106" s="98"/>
      <c r="F106" s="97"/>
      <c r="G106" s="98"/>
      <c r="H106" s="99"/>
      <c r="I106" s="98"/>
      <c r="J106" s="97"/>
      <c r="K106" s="98"/>
      <c r="L106" s="99"/>
      <c r="M106" s="98"/>
      <c r="N106" s="97"/>
      <c r="O106" s="98"/>
      <c r="P106" s="99"/>
      <c r="Q106" s="98"/>
      <c r="R106" s="97"/>
      <c r="S106" s="98"/>
      <c r="T106" s="99"/>
      <c r="U106" s="98"/>
      <c r="V106" s="97"/>
    </row>
    <row r="107" spans="2:22" s="7" customFormat="1" ht="81.75" hidden="1" customHeight="1" x14ac:dyDescent="0.25">
      <c r="B107" s="42" t="s">
        <v>326</v>
      </c>
      <c r="C107" s="42"/>
      <c r="D107" s="42" t="s">
        <v>327</v>
      </c>
      <c r="E107" s="42"/>
      <c r="F107" s="42"/>
      <c r="G107" s="42"/>
      <c r="H107" s="42"/>
      <c r="I107" s="42"/>
      <c r="J107" s="42"/>
      <c r="K107" s="42"/>
      <c r="L107" s="42"/>
      <c r="M107" s="42"/>
      <c r="N107" s="42"/>
      <c r="O107" s="42"/>
      <c r="P107" s="42"/>
      <c r="Q107" s="42"/>
      <c r="R107" s="42"/>
      <c r="S107" s="42"/>
      <c r="T107" s="42"/>
      <c r="U107" s="42"/>
      <c r="V107" s="42"/>
    </row>
    <row r="108" spans="2:22" s="7" customFormat="1" ht="177" hidden="1" customHeight="1" x14ac:dyDescent="0.25">
      <c r="B108" s="79" t="s">
        <v>328</v>
      </c>
      <c r="C108" s="79"/>
      <c r="D108" s="79" t="s">
        <v>958</v>
      </c>
      <c r="E108" s="79"/>
      <c r="F108" s="79"/>
      <c r="G108" s="79"/>
      <c r="H108" s="79"/>
      <c r="I108" s="79"/>
      <c r="J108" s="79"/>
      <c r="K108" s="79"/>
      <c r="L108" s="79"/>
      <c r="M108" s="79"/>
      <c r="N108" s="79"/>
      <c r="O108" s="79"/>
      <c r="P108" s="79"/>
      <c r="Q108" s="79"/>
      <c r="R108" s="79"/>
      <c r="S108" s="79"/>
      <c r="T108" s="79"/>
      <c r="U108" s="79"/>
      <c r="V108" s="79"/>
    </row>
    <row r="109" spans="2:22" s="7" customFormat="1" ht="127.5" hidden="1" customHeight="1" x14ac:dyDescent="0.25">
      <c r="B109" s="68" t="s">
        <v>330</v>
      </c>
      <c r="C109" s="68" t="s">
        <v>960</v>
      </c>
      <c r="D109" s="59" t="s">
        <v>677</v>
      </c>
      <c r="E109" s="59" t="s">
        <v>515</v>
      </c>
      <c r="F109" s="59" t="s">
        <v>619</v>
      </c>
      <c r="G109" s="59" t="s">
        <v>516</v>
      </c>
      <c r="H109" s="59" t="s">
        <v>959</v>
      </c>
      <c r="I109" s="68" t="s">
        <v>518</v>
      </c>
      <c r="J109" s="68" t="s">
        <v>468</v>
      </c>
      <c r="K109" s="68" t="s">
        <v>47</v>
      </c>
      <c r="L109" s="68">
        <v>2044376</v>
      </c>
      <c r="M109" s="68">
        <v>306656</v>
      </c>
      <c r="N109" s="68">
        <v>0</v>
      </c>
      <c r="O109" s="68">
        <v>0</v>
      </c>
      <c r="P109" s="68">
        <v>0</v>
      </c>
      <c r="Q109" s="68">
        <v>1737720</v>
      </c>
      <c r="R109" s="68">
        <v>0</v>
      </c>
      <c r="S109" s="69" t="s">
        <v>485</v>
      </c>
      <c r="T109" s="69" t="s">
        <v>486</v>
      </c>
      <c r="U109" s="69" t="s">
        <v>665</v>
      </c>
      <c r="V109" s="69">
        <v>2020</v>
      </c>
    </row>
    <row r="110" spans="2:22" s="7" customFormat="1" ht="56.25" hidden="1" customHeight="1" x14ac:dyDescent="0.25">
      <c r="B110" s="42" t="s">
        <v>332</v>
      </c>
      <c r="C110" s="42"/>
      <c r="D110" s="42" t="s">
        <v>333</v>
      </c>
      <c r="E110" s="42"/>
      <c r="F110" s="42"/>
      <c r="G110" s="42"/>
      <c r="H110" s="42"/>
      <c r="I110" s="42"/>
      <c r="J110" s="42"/>
      <c r="K110" s="42"/>
      <c r="L110" s="42"/>
      <c r="M110" s="42"/>
      <c r="N110" s="42"/>
      <c r="O110" s="42"/>
      <c r="P110" s="42"/>
      <c r="Q110" s="42"/>
      <c r="R110" s="42"/>
      <c r="S110" s="42"/>
      <c r="T110" s="42"/>
      <c r="U110" s="42"/>
      <c r="V110" s="42"/>
    </row>
    <row r="111" spans="2:22" s="7" customFormat="1" ht="55.5" hidden="1" customHeight="1" x14ac:dyDescent="0.25">
      <c r="B111" s="79" t="s">
        <v>334</v>
      </c>
      <c r="C111" s="79"/>
      <c r="D111" s="79" t="s">
        <v>335</v>
      </c>
      <c r="E111" s="79"/>
      <c r="F111" s="79"/>
      <c r="G111" s="79"/>
      <c r="H111" s="79"/>
      <c r="I111" s="79"/>
      <c r="J111" s="79"/>
      <c r="K111" s="79"/>
      <c r="L111" s="79"/>
      <c r="M111" s="79"/>
      <c r="N111" s="79"/>
      <c r="O111" s="79"/>
      <c r="P111" s="79"/>
      <c r="Q111" s="79"/>
      <c r="R111" s="79"/>
      <c r="S111" s="79"/>
      <c r="T111" s="79"/>
      <c r="U111" s="79"/>
      <c r="V111" s="79"/>
    </row>
    <row r="112" spans="2:22" s="7" customFormat="1" ht="55.5" hidden="1" customHeight="1" x14ac:dyDescent="0.25">
      <c r="B112" s="100" t="s">
        <v>975</v>
      </c>
      <c r="C112" s="100"/>
      <c r="D112" s="101" t="s">
        <v>974</v>
      </c>
      <c r="E112" s="100"/>
      <c r="F112" s="100"/>
      <c r="G112" s="100"/>
      <c r="H112" s="100"/>
      <c r="I112" s="100"/>
      <c r="J112" s="100"/>
      <c r="K112" s="100"/>
      <c r="L112" s="100"/>
      <c r="M112" s="100"/>
      <c r="N112" s="100"/>
      <c r="O112" s="100"/>
      <c r="P112" s="100"/>
      <c r="Q112" s="100"/>
      <c r="R112" s="100"/>
      <c r="S112" s="100"/>
      <c r="T112" s="100"/>
      <c r="U112" s="100"/>
      <c r="V112" s="100"/>
    </row>
    <row r="113" spans="2:22" s="7" customFormat="1" ht="69" hidden="1" customHeight="1" x14ac:dyDescent="0.25">
      <c r="B113" s="97" t="s">
        <v>678</v>
      </c>
      <c r="C113" s="98"/>
      <c r="D113" s="99" t="s">
        <v>337</v>
      </c>
      <c r="E113" s="98"/>
      <c r="F113" s="97"/>
      <c r="G113" s="97"/>
      <c r="H113" s="98"/>
      <c r="I113" s="99"/>
      <c r="J113" s="98"/>
      <c r="K113" s="97"/>
      <c r="L113" s="97"/>
      <c r="M113" s="98"/>
      <c r="N113" s="99"/>
      <c r="O113" s="98"/>
      <c r="P113" s="97"/>
      <c r="Q113" s="97"/>
      <c r="R113" s="98"/>
      <c r="S113" s="99"/>
      <c r="T113" s="98"/>
      <c r="U113" s="97"/>
      <c r="V113" s="97"/>
    </row>
    <row r="114" spans="2:22" s="7" customFormat="1" ht="81.75" hidden="1" customHeight="1" x14ac:dyDescent="0.25">
      <c r="B114" s="42" t="s">
        <v>338</v>
      </c>
      <c r="C114" s="42"/>
      <c r="D114" s="42" t="s">
        <v>339</v>
      </c>
      <c r="E114" s="42"/>
      <c r="F114" s="42"/>
      <c r="G114" s="42"/>
      <c r="H114" s="42"/>
      <c r="I114" s="42"/>
      <c r="J114" s="42"/>
      <c r="K114" s="42"/>
      <c r="L114" s="42"/>
      <c r="M114" s="42"/>
      <c r="N114" s="42"/>
      <c r="O114" s="42"/>
      <c r="P114" s="42"/>
      <c r="Q114" s="42"/>
      <c r="R114" s="42"/>
      <c r="S114" s="42"/>
      <c r="T114" s="42"/>
      <c r="U114" s="42"/>
      <c r="V114" s="42"/>
    </row>
    <row r="115" spans="2:22" s="7" customFormat="1" ht="82.5" hidden="1" customHeight="1" x14ac:dyDescent="0.25">
      <c r="B115" s="79" t="s">
        <v>679</v>
      </c>
      <c r="C115" s="79"/>
      <c r="D115" s="79" t="s">
        <v>341</v>
      </c>
      <c r="E115" s="79"/>
      <c r="F115" s="79"/>
      <c r="G115" s="79"/>
      <c r="H115" s="79"/>
      <c r="I115" s="79"/>
      <c r="J115" s="79"/>
      <c r="K115" s="79"/>
      <c r="L115" s="79"/>
      <c r="M115" s="79"/>
      <c r="N115" s="79"/>
      <c r="O115" s="79"/>
      <c r="P115" s="79"/>
      <c r="Q115" s="79"/>
      <c r="R115" s="79"/>
      <c r="S115" s="79"/>
      <c r="T115" s="79"/>
      <c r="U115" s="79"/>
      <c r="V115" s="79"/>
    </row>
    <row r="116" spans="2:22" s="7" customFormat="1" ht="66" hidden="1" customHeight="1" x14ac:dyDescent="0.25">
      <c r="B116" s="68" t="s">
        <v>342</v>
      </c>
      <c r="C116" s="68" t="s">
        <v>683</v>
      </c>
      <c r="D116" s="59" t="s">
        <v>343</v>
      </c>
      <c r="E116" s="59" t="s">
        <v>463</v>
      </c>
      <c r="F116" s="59" t="s">
        <v>680</v>
      </c>
      <c r="G116" s="59" t="s">
        <v>470</v>
      </c>
      <c r="H116" s="59" t="s">
        <v>681</v>
      </c>
      <c r="I116" s="68" t="s">
        <v>467</v>
      </c>
      <c r="J116" s="68" t="s">
        <v>468</v>
      </c>
      <c r="K116" s="68" t="s">
        <v>47</v>
      </c>
      <c r="L116" s="68">
        <v>249008</v>
      </c>
      <c r="M116" s="68">
        <v>59493</v>
      </c>
      <c r="N116" s="68">
        <v>15366</v>
      </c>
      <c r="O116" s="68">
        <v>0</v>
      </c>
      <c r="P116" s="68">
        <v>0</v>
      </c>
      <c r="Q116" s="68">
        <v>174149</v>
      </c>
      <c r="R116" s="68">
        <v>0</v>
      </c>
      <c r="S116" s="69" t="s">
        <v>559</v>
      </c>
      <c r="T116" s="69" t="s">
        <v>509</v>
      </c>
      <c r="U116" s="69" t="s">
        <v>485</v>
      </c>
      <c r="V116" s="69">
        <v>2019</v>
      </c>
    </row>
    <row r="117" spans="2:22" s="7" customFormat="1" ht="67.5" hidden="1" customHeight="1" x14ac:dyDescent="0.25">
      <c r="B117" s="68" t="s">
        <v>344</v>
      </c>
      <c r="C117" s="68" t="s">
        <v>684</v>
      </c>
      <c r="D117" s="59" t="s">
        <v>345</v>
      </c>
      <c r="E117" s="59" t="s">
        <v>519</v>
      </c>
      <c r="F117" s="59" t="s">
        <v>680</v>
      </c>
      <c r="G117" s="59" t="s">
        <v>553</v>
      </c>
      <c r="H117" s="59" t="s">
        <v>682</v>
      </c>
      <c r="I117" s="68" t="s">
        <v>467</v>
      </c>
      <c r="J117" s="68" t="s">
        <v>468</v>
      </c>
      <c r="K117" s="68"/>
      <c r="L117" s="68">
        <v>614629.1</v>
      </c>
      <c r="M117" s="68">
        <v>194157.1</v>
      </c>
      <c r="N117" s="68">
        <v>34092</v>
      </c>
      <c r="O117" s="68">
        <v>0</v>
      </c>
      <c r="P117" s="68">
        <v>0</v>
      </c>
      <c r="Q117" s="68">
        <v>386380</v>
      </c>
      <c r="R117" s="68">
        <v>0</v>
      </c>
      <c r="S117" s="69" t="s">
        <v>578</v>
      </c>
      <c r="T117" s="69" t="s">
        <v>509</v>
      </c>
      <c r="U117" s="69" t="s">
        <v>500</v>
      </c>
      <c r="V117" s="69">
        <v>2020</v>
      </c>
    </row>
    <row r="118" spans="2:22" s="7" customFormat="1" ht="52.5" hidden="1" customHeight="1" x14ac:dyDescent="0.25">
      <c r="B118" s="79" t="s">
        <v>346</v>
      </c>
      <c r="C118" s="79"/>
      <c r="D118" s="79" t="s">
        <v>347</v>
      </c>
      <c r="E118" s="79"/>
      <c r="F118" s="79"/>
      <c r="G118" s="79"/>
      <c r="H118" s="79"/>
      <c r="I118" s="79"/>
      <c r="J118" s="79"/>
      <c r="K118" s="79"/>
      <c r="L118" s="79"/>
      <c r="M118" s="79"/>
      <c r="N118" s="79"/>
      <c r="O118" s="79"/>
      <c r="P118" s="79"/>
      <c r="Q118" s="79"/>
      <c r="R118" s="79"/>
      <c r="S118" s="79"/>
      <c r="T118" s="79"/>
      <c r="U118" s="79"/>
      <c r="V118" s="79"/>
    </row>
    <row r="119" spans="2:22" s="7" customFormat="1" ht="54.75" hidden="1" customHeight="1" x14ac:dyDescent="0.25">
      <c r="B119" s="68" t="s">
        <v>348</v>
      </c>
      <c r="C119" s="68" t="s">
        <v>688</v>
      </c>
      <c r="D119" s="59" t="s">
        <v>685</v>
      </c>
      <c r="E119" s="59" t="s">
        <v>463</v>
      </c>
      <c r="F119" s="59" t="s">
        <v>680</v>
      </c>
      <c r="G119" s="59" t="s">
        <v>470</v>
      </c>
      <c r="H119" s="59" t="s">
        <v>686</v>
      </c>
      <c r="I119" s="68" t="s">
        <v>467</v>
      </c>
      <c r="J119" s="68" t="s">
        <v>468</v>
      </c>
      <c r="K119" s="68" t="s">
        <v>47</v>
      </c>
      <c r="L119" s="68">
        <v>324706</v>
      </c>
      <c r="M119" s="68">
        <v>24353</v>
      </c>
      <c r="N119" s="68">
        <v>24353</v>
      </c>
      <c r="O119" s="68">
        <v>0</v>
      </c>
      <c r="P119" s="68">
        <v>0</v>
      </c>
      <c r="Q119" s="68">
        <v>276000</v>
      </c>
      <c r="R119" s="68">
        <v>0</v>
      </c>
      <c r="S119" s="69" t="s">
        <v>653</v>
      </c>
      <c r="T119" s="69" t="s">
        <v>559</v>
      </c>
      <c r="U119" s="69" t="s">
        <v>509</v>
      </c>
      <c r="V119" s="69">
        <v>2019</v>
      </c>
    </row>
    <row r="120" spans="2:22" s="7" customFormat="1" ht="76.5" hidden="1" x14ac:dyDescent="0.25">
      <c r="B120" s="68" t="s">
        <v>350</v>
      </c>
      <c r="C120" s="68" t="s">
        <v>689</v>
      </c>
      <c r="D120" s="59" t="s">
        <v>351</v>
      </c>
      <c r="E120" s="59" t="s">
        <v>478</v>
      </c>
      <c r="F120" s="59" t="s">
        <v>680</v>
      </c>
      <c r="G120" s="59" t="s">
        <v>687</v>
      </c>
      <c r="H120" s="59" t="s">
        <v>686</v>
      </c>
      <c r="I120" s="68" t="s">
        <v>467</v>
      </c>
      <c r="J120" s="68"/>
      <c r="K120" s="68"/>
      <c r="L120" s="68">
        <v>363001</v>
      </c>
      <c r="M120" s="68">
        <v>55983</v>
      </c>
      <c r="N120" s="68">
        <v>24893</v>
      </c>
      <c r="O120" s="68">
        <v>0</v>
      </c>
      <c r="P120" s="68">
        <v>0</v>
      </c>
      <c r="Q120" s="68">
        <v>282125</v>
      </c>
      <c r="R120" s="68">
        <v>0</v>
      </c>
      <c r="S120" s="69" t="s">
        <v>653</v>
      </c>
      <c r="T120" s="69" t="s">
        <v>559</v>
      </c>
      <c r="U120" s="69" t="s">
        <v>509</v>
      </c>
      <c r="V120" s="69">
        <v>2020</v>
      </c>
    </row>
    <row r="121" spans="2:22" s="7" customFormat="1" ht="67.5" hidden="1" customHeight="1" x14ac:dyDescent="0.25">
      <c r="B121" s="68" t="s">
        <v>352</v>
      </c>
      <c r="C121" s="68" t="s">
        <v>690</v>
      </c>
      <c r="D121" s="59" t="s">
        <v>353</v>
      </c>
      <c r="E121" s="59" t="s">
        <v>512</v>
      </c>
      <c r="F121" s="59" t="s">
        <v>680</v>
      </c>
      <c r="G121" s="59" t="s">
        <v>543</v>
      </c>
      <c r="H121" s="59" t="s">
        <v>686</v>
      </c>
      <c r="I121" s="68" t="s">
        <v>467</v>
      </c>
      <c r="J121" s="68"/>
      <c r="K121" s="68"/>
      <c r="L121" s="68">
        <v>363001</v>
      </c>
      <c r="M121" s="68">
        <v>66561.350000000006</v>
      </c>
      <c r="N121" s="68">
        <v>24035.65</v>
      </c>
      <c r="O121" s="68">
        <v>0</v>
      </c>
      <c r="P121" s="68">
        <v>0</v>
      </c>
      <c r="Q121" s="68">
        <v>272404</v>
      </c>
      <c r="R121" s="68">
        <v>0</v>
      </c>
      <c r="S121" s="69" t="s">
        <v>504</v>
      </c>
      <c r="T121" s="69" t="s">
        <v>559</v>
      </c>
      <c r="U121" s="69" t="s">
        <v>509</v>
      </c>
      <c r="V121" s="69">
        <v>2020</v>
      </c>
    </row>
    <row r="122" spans="2:22" s="7" customFormat="1" ht="63.75" hidden="1" customHeight="1" x14ac:dyDescent="0.25">
      <c r="B122" s="42" t="s">
        <v>354</v>
      </c>
      <c r="C122" s="42"/>
      <c r="D122" s="42" t="s">
        <v>355</v>
      </c>
      <c r="E122" s="42"/>
      <c r="F122" s="42"/>
      <c r="G122" s="42" t="s">
        <v>691</v>
      </c>
      <c r="H122" s="42"/>
      <c r="I122" s="42"/>
      <c r="J122" s="42"/>
      <c r="K122" s="42"/>
      <c r="L122" s="42"/>
      <c r="M122" s="42"/>
      <c r="N122" s="42"/>
      <c r="O122" s="42"/>
      <c r="P122" s="42"/>
      <c r="Q122" s="42"/>
      <c r="R122" s="42"/>
      <c r="S122" s="42"/>
      <c r="T122" s="42"/>
      <c r="U122" s="42"/>
      <c r="V122" s="42"/>
    </row>
    <row r="123" spans="2:22" s="7" customFormat="1" ht="67.5" hidden="1" customHeight="1" x14ac:dyDescent="0.25">
      <c r="B123" s="79" t="s">
        <v>356</v>
      </c>
      <c r="C123" s="79"/>
      <c r="D123" s="79" t="s">
        <v>357</v>
      </c>
      <c r="E123" s="79"/>
      <c r="F123" s="79"/>
      <c r="G123" s="79"/>
      <c r="H123" s="79"/>
      <c r="I123" s="79"/>
      <c r="J123" s="79"/>
      <c r="K123" s="79"/>
      <c r="L123" s="79"/>
      <c r="M123" s="79"/>
      <c r="N123" s="79"/>
      <c r="O123" s="79"/>
      <c r="P123" s="79"/>
      <c r="Q123" s="79"/>
      <c r="R123" s="79"/>
      <c r="S123" s="79"/>
      <c r="T123" s="79"/>
      <c r="U123" s="79"/>
      <c r="V123" s="79"/>
    </row>
    <row r="124" spans="2:22" s="7" customFormat="1" ht="141" hidden="1" customHeight="1" x14ac:dyDescent="0.25">
      <c r="B124" s="68" t="s">
        <v>358</v>
      </c>
      <c r="C124" s="68" t="s">
        <v>695</v>
      </c>
      <c r="D124" s="59" t="s">
        <v>692</v>
      </c>
      <c r="E124" s="59" t="s">
        <v>463</v>
      </c>
      <c r="F124" s="59" t="s">
        <v>680</v>
      </c>
      <c r="G124" s="59" t="s">
        <v>465</v>
      </c>
      <c r="H124" s="59" t="s">
        <v>693</v>
      </c>
      <c r="I124" s="68" t="s">
        <v>467</v>
      </c>
      <c r="J124" s="68" t="s">
        <v>468</v>
      </c>
      <c r="K124" s="68" t="s">
        <v>47</v>
      </c>
      <c r="L124" s="68">
        <v>320627</v>
      </c>
      <c r="M124" s="68">
        <v>48094</v>
      </c>
      <c r="N124" s="68">
        <v>0</v>
      </c>
      <c r="O124" s="68">
        <v>0</v>
      </c>
      <c r="P124" s="68">
        <v>0</v>
      </c>
      <c r="Q124" s="68">
        <v>272533</v>
      </c>
      <c r="R124" s="68">
        <v>0</v>
      </c>
      <c r="S124" s="69" t="s">
        <v>508</v>
      </c>
      <c r="T124" s="69" t="s">
        <v>559</v>
      </c>
      <c r="U124" s="69" t="s">
        <v>509</v>
      </c>
      <c r="V124" s="69">
        <v>2019</v>
      </c>
    </row>
    <row r="125" spans="2:22" s="7" customFormat="1" ht="69" hidden="1" customHeight="1" x14ac:dyDescent="0.25">
      <c r="B125" s="68" t="s">
        <v>360</v>
      </c>
      <c r="C125" s="68" t="s">
        <v>696</v>
      </c>
      <c r="D125" s="59" t="s">
        <v>361</v>
      </c>
      <c r="E125" s="59" t="s">
        <v>481</v>
      </c>
      <c r="F125" s="59" t="s">
        <v>694</v>
      </c>
      <c r="G125" s="59" t="s">
        <v>482</v>
      </c>
      <c r="H125" s="59" t="s">
        <v>693</v>
      </c>
      <c r="I125" s="68" t="s">
        <v>475</v>
      </c>
      <c r="J125" s="68" t="s">
        <v>476</v>
      </c>
      <c r="K125" s="68" t="s">
        <v>477</v>
      </c>
      <c r="L125" s="68">
        <v>1331974</v>
      </c>
      <c r="M125" s="68">
        <v>199796</v>
      </c>
      <c r="N125" s="68">
        <v>0</v>
      </c>
      <c r="O125" s="68">
        <v>0</v>
      </c>
      <c r="P125" s="68">
        <v>0</v>
      </c>
      <c r="Q125" s="68">
        <v>1132178</v>
      </c>
      <c r="R125" s="68">
        <v>0</v>
      </c>
      <c r="S125" s="69" t="s">
        <v>508</v>
      </c>
      <c r="T125" s="69" t="s">
        <v>559</v>
      </c>
      <c r="U125" s="69" t="s">
        <v>509</v>
      </c>
      <c r="V125" s="69">
        <v>2020</v>
      </c>
    </row>
    <row r="126" spans="2:22" s="7" customFormat="1" ht="56.25" hidden="1" customHeight="1" x14ac:dyDescent="0.25">
      <c r="B126" s="97" t="s">
        <v>362</v>
      </c>
      <c r="C126" s="98"/>
      <c r="D126" s="99" t="s">
        <v>363</v>
      </c>
      <c r="E126" s="98"/>
      <c r="F126" s="97"/>
      <c r="G126" s="97"/>
      <c r="H126" s="98"/>
      <c r="I126" s="99"/>
      <c r="J126" s="98"/>
      <c r="K126" s="97"/>
      <c r="L126" s="97"/>
      <c r="M126" s="98"/>
      <c r="N126" s="99"/>
      <c r="O126" s="98"/>
      <c r="P126" s="97"/>
      <c r="Q126" s="97"/>
      <c r="R126" s="98"/>
      <c r="S126" s="99"/>
      <c r="T126" s="98"/>
      <c r="U126" s="97"/>
      <c r="V126" s="97"/>
    </row>
    <row r="127" spans="2:22" s="7" customFormat="1" ht="78.75" hidden="1" customHeight="1" x14ac:dyDescent="0.25">
      <c r="B127" s="42" t="s">
        <v>364</v>
      </c>
      <c r="C127" s="42"/>
      <c r="D127" s="42" t="s">
        <v>365</v>
      </c>
      <c r="E127" s="42"/>
      <c r="F127" s="42"/>
      <c r="G127" s="42"/>
      <c r="H127" s="42"/>
      <c r="I127" s="42"/>
      <c r="J127" s="42"/>
      <c r="K127" s="42"/>
      <c r="L127" s="42"/>
      <c r="M127" s="42"/>
      <c r="N127" s="42"/>
      <c r="O127" s="42"/>
      <c r="P127" s="42"/>
      <c r="Q127" s="42"/>
      <c r="R127" s="42"/>
      <c r="S127" s="42"/>
      <c r="T127" s="42"/>
      <c r="U127" s="42"/>
      <c r="V127" s="42"/>
    </row>
    <row r="128" spans="2:22" s="7" customFormat="1" ht="89.25" hidden="1" customHeight="1" x14ac:dyDescent="0.25">
      <c r="B128" s="79" t="s">
        <v>366</v>
      </c>
      <c r="C128" s="79"/>
      <c r="D128" s="79" t="s">
        <v>367</v>
      </c>
      <c r="E128" s="79"/>
      <c r="F128" s="79"/>
      <c r="G128" s="79"/>
      <c r="H128" s="79"/>
      <c r="I128" s="79"/>
      <c r="J128" s="79"/>
      <c r="K128" s="79"/>
      <c r="L128" s="79"/>
      <c r="M128" s="79"/>
      <c r="N128" s="79"/>
      <c r="O128" s="79"/>
      <c r="P128" s="79"/>
      <c r="Q128" s="79"/>
      <c r="R128" s="79"/>
      <c r="S128" s="79"/>
      <c r="T128" s="79"/>
      <c r="U128" s="79"/>
      <c r="V128" s="79"/>
    </row>
    <row r="129" spans="2:22" s="7" customFormat="1" ht="148.5" hidden="1" customHeight="1" x14ac:dyDescent="0.25">
      <c r="B129" s="68" t="s">
        <v>995</v>
      </c>
      <c r="C129" s="68" t="s">
        <v>1001</v>
      </c>
      <c r="D129" s="68" t="s">
        <v>1007</v>
      </c>
      <c r="E129" s="68" t="s">
        <v>1008</v>
      </c>
      <c r="F129" s="68" t="s">
        <v>698</v>
      </c>
      <c r="G129" s="68" t="s">
        <v>465</v>
      </c>
      <c r="H129" s="68" t="s">
        <v>924</v>
      </c>
      <c r="I129" s="68" t="s">
        <v>467</v>
      </c>
      <c r="J129" s="68" t="s">
        <v>47</v>
      </c>
      <c r="K129" s="68" t="s">
        <v>47</v>
      </c>
      <c r="L129" s="68">
        <v>246940.54</v>
      </c>
      <c r="M129" s="68">
        <v>18520.55</v>
      </c>
      <c r="N129" s="68">
        <v>18520.55</v>
      </c>
      <c r="O129" s="68">
        <v>0</v>
      </c>
      <c r="P129" s="68">
        <v>0</v>
      </c>
      <c r="Q129" s="68">
        <v>209899.44</v>
      </c>
      <c r="R129" s="68">
        <v>0</v>
      </c>
      <c r="S129" s="69" t="s">
        <v>503</v>
      </c>
      <c r="T129" s="69" t="s">
        <v>665</v>
      </c>
      <c r="U129" s="69" t="s">
        <v>664</v>
      </c>
      <c r="V129" s="69">
        <v>2020</v>
      </c>
    </row>
    <row r="130" spans="2:22" s="7" customFormat="1" ht="89.25" hidden="1" customHeight="1" x14ac:dyDescent="0.25">
      <c r="B130" s="68" t="s">
        <v>996</v>
      </c>
      <c r="C130" s="68" t="s">
        <v>1002</v>
      </c>
      <c r="D130" s="68" t="s">
        <v>1013</v>
      </c>
      <c r="E130" s="68" t="s">
        <v>1014</v>
      </c>
      <c r="F130" s="68" t="s">
        <v>698</v>
      </c>
      <c r="G130" s="68" t="s">
        <v>543</v>
      </c>
      <c r="H130" s="68" t="s">
        <v>924</v>
      </c>
      <c r="I130" s="68" t="s">
        <v>467</v>
      </c>
      <c r="J130" s="68" t="s">
        <v>47</v>
      </c>
      <c r="K130" s="68" t="s">
        <v>47</v>
      </c>
      <c r="L130" s="68">
        <v>112739.46</v>
      </c>
      <c r="M130" s="68">
        <v>8455.4599999999991</v>
      </c>
      <c r="N130" s="68">
        <v>8455.4599999999991</v>
      </c>
      <c r="O130" s="68">
        <v>0</v>
      </c>
      <c r="P130" s="68">
        <v>0</v>
      </c>
      <c r="Q130" s="68">
        <v>95828.54</v>
      </c>
      <c r="R130" s="68">
        <v>0</v>
      </c>
      <c r="S130" s="69" t="s">
        <v>503</v>
      </c>
      <c r="T130" s="69" t="s">
        <v>495</v>
      </c>
      <c r="U130" s="69" t="s">
        <v>1015</v>
      </c>
      <c r="V130" s="69">
        <v>2020</v>
      </c>
    </row>
    <row r="131" spans="2:22" s="7" customFormat="1" ht="111.75" hidden="1" customHeight="1" x14ac:dyDescent="0.25">
      <c r="B131" s="68" t="s">
        <v>997</v>
      </c>
      <c r="C131" s="68" t="s">
        <v>1003</v>
      </c>
      <c r="D131" s="68" t="s">
        <v>1033</v>
      </c>
      <c r="E131" s="68" t="s">
        <v>1017</v>
      </c>
      <c r="F131" s="68" t="s">
        <v>698</v>
      </c>
      <c r="G131" s="68" t="s">
        <v>543</v>
      </c>
      <c r="H131" s="68" t="s">
        <v>924</v>
      </c>
      <c r="I131" s="68" t="s">
        <v>467</v>
      </c>
      <c r="J131" s="68" t="s">
        <v>47</v>
      </c>
      <c r="K131" s="68" t="s">
        <v>47</v>
      </c>
      <c r="L131" s="68">
        <v>95269.19</v>
      </c>
      <c r="M131" s="68">
        <v>0</v>
      </c>
      <c r="N131" s="68">
        <v>7145.19</v>
      </c>
      <c r="O131" s="68">
        <v>7145.19</v>
      </c>
      <c r="P131" s="68">
        <v>0</v>
      </c>
      <c r="Q131" s="68">
        <v>80978.81</v>
      </c>
      <c r="R131" s="68">
        <v>0</v>
      </c>
      <c r="S131" s="106" t="s">
        <v>503</v>
      </c>
      <c r="T131" s="69" t="s">
        <v>556</v>
      </c>
      <c r="U131" s="69" t="s">
        <v>496</v>
      </c>
      <c r="V131" s="69">
        <v>2019</v>
      </c>
    </row>
    <row r="132" spans="2:22" s="7" customFormat="1" ht="155.25" hidden="1" customHeight="1" x14ac:dyDescent="0.25">
      <c r="B132" s="68" t="s">
        <v>998</v>
      </c>
      <c r="C132" s="68" t="s">
        <v>1004</v>
      </c>
      <c r="D132" s="68" t="s">
        <v>1018</v>
      </c>
      <c r="E132" s="68" t="s">
        <v>1019</v>
      </c>
      <c r="F132" s="68" t="s">
        <v>698</v>
      </c>
      <c r="G132" s="68" t="s">
        <v>609</v>
      </c>
      <c r="H132" s="68" t="s">
        <v>924</v>
      </c>
      <c r="I132" s="68" t="s">
        <v>467</v>
      </c>
      <c r="J132" s="68" t="s">
        <v>47</v>
      </c>
      <c r="K132" s="68" t="s">
        <v>47</v>
      </c>
      <c r="L132" s="81">
        <v>182486</v>
      </c>
      <c r="M132" s="68">
        <v>13686</v>
      </c>
      <c r="N132" s="68">
        <v>13686</v>
      </c>
      <c r="O132" s="68">
        <v>0</v>
      </c>
      <c r="P132" s="68">
        <v>0</v>
      </c>
      <c r="Q132" s="81">
        <v>155114</v>
      </c>
      <c r="R132" s="68">
        <v>0</v>
      </c>
      <c r="S132" s="69" t="s">
        <v>503</v>
      </c>
      <c r="T132" s="69" t="s">
        <v>495</v>
      </c>
      <c r="U132" s="69" t="s">
        <v>496</v>
      </c>
      <c r="V132" s="69">
        <v>2020</v>
      </c>
    </row>
    <row r="133" spans="2:22" s="7" customFormat="1" ht="89.25" hidden="1" customHeight="1" x14ac:dyDescent="0.25">
      <c r="B133" s="68" t="s">
        <v>999</v>
      </c>
      <c r="C133" s="68" t="s">
        <v>1005</v>
      </c>
      <c r="D133" s="68" t="s">
        <v>1020</v>
      </c>
      <c r="E133" s="68" t="s">
        <v>702</v>
      </c>
      <c r="F133" s="68" t="s">
        <v>698</v>
      </c>
      <c r="G133" s="68" t="s">
        <v>520</v>
      </c>
      <c r="H133" s="68" t="s">
        <v>924</v>
      </c>
      <c r="I133" s="68" t="s">
        <v>467</v>
      </c>
      <c r="J133" s="68" t="s">
        <v>47</v>
      </c>
      <c r="K133" s="68" t="s">
        <v>47</v>
      </c>
      <c r="L133" s="68">
        <v>294117.65000000002</v>
      </c>
      <c r="M133" s="68">
        <v>22058.83</v>
      </c>
      <c r="N133" s="68">
        <v>22058.82</v>
      </c>
      <c r="O133" s="68">
        <v>0</v>
      </c>
      <c r="P133" s="68">
        <v>0</v>
      </c>
      <c r="Q133" s="81">
        <v>250000</v>
      </c>
      <c r="R133" s="68">
        <v>0</v>
      </c>
      <c r="S133" s="69" t="s">
        <v>503</v>
      </c>
      <c r="T133" s="69" t="s">
        <v>496</v>
      </c>
      <c r="U133" s="69" t="s">
        <v>663</v>
      </c>
      <c r="V133" s="69">
        <v>2021</v>
      </c>
    </row>
    <row r="134" spans="2:22" s="7" customFormat="1" ht="89.25" hidden="1" customHeight="1" x14ac:dyDescent="0.25">
      <c r="B134" s="68" t="s">
        <v>1000</v>
      </c>
      <c r="C134" s="68" t="s">
        <v>1006</v>
      </c>
      <c r="D134" s="68" t="s">
        <v>1023</v>
      </c>
      <c r="E134" s="68" t="s">
        <v>1024</v>
      </c>
      <c r="F134" s="68" t="s">
        <v>698</v>
      </c>
      <c r="G134" s="68" t="s">
        <v>520</v>
      </c>
      <c r="H134" s="68" t="s">
        <v>924</v>
      </c>
      <c r="I134" s="68" t="s">
        <v>467</v>
      </c>
      <c r="J134" s="68" t="s">
        <v>47</v>
      </c>
      <c r="K134" s="68" t="s">
        <v>47</v>
      </c>
      <c r="L134" s="81">
        <v>34226.199999999997</v>
      </c>
      <c r="M134" s="68">
        <v>0</v>
      </c>
      <c r="N134" s="68">
        <v>2286.4899999999998</v>
      </c>
      <c r="O134" s="68">
        <v>0</v>
      </c>
      <c r="P134" s="68">
        <v>0</v>
      </c>
      <c r="Q134" s="81">
        <v>25913.51</v>
      </c>
      <c r="R134" s="68">
        <v>0</v>
      </c>
      <c r="S134" s="69" t="s">
        <v>503</v>
      </c>
      <c r="T134" s="69" t="s">
        <v>496</v>
      </c>
      <c r="U134" s="69" t="s">
        <v>663</v>
      </c>
      <c r="V134" s="69">
        <v>2019</v>
      </c>
    </row>
    <row r="135" spans="2:22" s="7" customFormat="1" ht="114" hidden="1" customHeight="1" x14ac:dyDescent="0.25">
      <c r="B135" s="68" t="s">
        <v>1021</v>
      </c>
      <c r="C135" s="68" t="s">
        <v>1026</v>
      </c>
      <c r="D135" s="68" t="s">
        <v>1025</v>
      </c>
      <c r="E135" s="68" t="s">
        <v>1027</v>
      </c>
      <c r="F135" s="68" t="s">
        <v>698</v>
      </c>
      <c r="G135" s="68" t="s">
        <v>721</v>
      </c>
      <c r="H135" s="68" t="s">
        <v>924</v>
      </c>
      <c r="I135" s="68" t="s">
        <v>467</v>
      </c>
      <c r="J135" s="68" t="s">
        <v>47</v>
      </c>
      <c r="K135" s="68" t="s">
        <v>47</v>
      </c>
      <c r="L135" s="81">
        <v>153580</v>
      </c>
      <c r="M135" s="81">
        <v>11518.5</v>
      </c>
      <c r="N135" s="81">
        <v>11518.5</v>
      </c>
      <c r="O135" s="68">
        <v>0</v>
      </c>
      <c r="P135" s="68">
        <v>0</v>
      </c>
      <c r="Q135" s="81">
        <v>130543</v>
      </c>
      <c r="R135" s="68">
        <v>0</v>
      </c>
      <c r="S135" s="69" t="s">
        <v>503</v>
      </c>
      <c r="T135" s="69" t="s">
        <v>556</v>
      </c>
      <c r="U135" s="69" t="s">
        <v>496</v>
      </c>
      <c r="V135" s="69">
        <v>2019</v>
      </c>
    </row>
    <row r="136" spans="2:22" s="7" customFormat="1" ht="89.25" hidden="1" customHeight="1" x14ac:dyDescent="0.25">
      <c r="B136" s="68" t="s">
        <v>1022</v>
      </c>
      <c r="C136" s="68" t="s">
        <v>1029</v>
      </c>
      <c r="D136" s="68" t="s">
        <v>1031</v>
      </c>
      <c r="E136" s="68" t="s">
        <v>703</v>
      </c>
      <c r="F136" s="68" t="s">
        <v>698</v>
      </c>
      <c r="G136" s="68" t="s">
        <v>1030</v>
      </c>
      <c r="H136" s="68" t="s">
        <v>924</v>
      </c>
      <c r="I136" s="68" t="s">
        <v>467</v>
      </c>
      <c r="J136" s="68" t="s">
        <v>47</v>
      </c>
      <c r="K136" s="68" t="s">
        <v>47</v>
      </c>
      <c r="L136" s="81">
        <v>200000</v>
      </c>
      <c r="M136" s="81">
        <v>15000</v>
      </c>
      <c r="N136" s="81">
        <v>15000</v>
      </c>
      <c r="O136" s="68">
        <v>0</v>
      </c>
      <c r="P136" s="68">
        <v>0</v>
      </c>
      <c r="Q136" s="68">
        <v>170000</v>
      </c>
      <c r="R136" s="68">
        <v>0</v>
      </c>
      <c r="S136" s="69" t="s">
        <v>503</v>
      </c>
      <c r="T136" s="69" t="s">
        <v>1032</v>
      </c>
      <c r="U136" s="69" t="s">
        <v>496</v>
      </c>
      <c r="V136" s="69">
        <v>2020</v>
      </c>
    </row>
    <row r="137" spans="2:22" s="7" customFormat="1" ht="152.25" hidden="1" customHeight="1" x14ac:dyDescent="0.25">
      <c r="B137" s="79" t="s">
        <v>368</v>
      </c>
      <c r="C137" s="79"/>
      <c r="D137" s="79" t="s">
        <v>369</v>
      </c>
      <c r="E137" s="79"/>
      <c r="F137" s="79"/>
      <c r="G137" s="79"/>
      <c r="H137" s="79"/>
      <c r="I137" s="79"/>
      <c r="J137" s="79"/>
      <c r="K137" s="79"/>
      <c r="L137" s="79"/>
      <c r="M137" s="79"/>
      <c r="N137" s="79"/>
      <c r="O137" s="79"/>
      <c r="P137" s="79"/>
      <c r="Q137" s="79"/>
      <c r="R137" s="79"/>
      <c r="S137" s="79"/>
      <c r="T137" s="79"/>
      <c r="U137" s="79"/>
      <c r="V137" s="79"/>
    </row>
    <row r="138" spans="2:22" s="7" customFormat="1" ht="86.25" hidden="1" customHeight="1" x14ac:dyDescent="0.25">
      <c r="B138" s="68" t="s">
        <v>370</v>
      </c>
      <c r="C138" s="68" t="s">
        <v>707</v>
      </c>
      <c r="D138" s="59" t="s">
        <v>371</v>
      </c>
      <c r="E138" s="59" t="s">
        <v>697</v>
      </c>
      <c r="F138" s="59" t="s">
        <v>698</v>
      </c>
      <c r="G138" s="59" t="s">
        <v>465</v>
      </c>
      <c r="H138" s="59" t="s">
        <v>699</v>
      </c>
      <c r="I138" s="68" t="s">
        <v>467</v>
      </c>
      <c r="J138" s="68" t="s">
        <v>47</v>
      </c>
      <c r="K138" s="68" t="s">
        <v>47</v>
      </c>
      <c r="L138" s="68">
        <v>13180</v>
      </c>
      <c r="M138" s="68">
        <v>990</v>
      </c>
      <c r="N138" s="68">
        <v>988</v>
      </c>
      <c r="O138" s="68">
        <v>0</v>
      </c>
      <c r="P138" s="68">
        <v>0</v>
      </c>
      <c r="Q138" s="68">
        <v>11202</v>
      </c>
      <c r="R138" s="68">
        <v>0</v>
      </c>
      <c r="S138" s="69" t="s">
        <v>497</v>
      </c>
      <c r="T138" s="69" t="s">
        <v>500</v>
      </c>
      <c r="U138" s="69" t="s">
        <v>486</v>
      </c>
      <c r="V138" s="69">
        <v>2021</v>
      </c>
    </row>
    <row r="139" spans="2:22" s="7" customFormat="1" ht="66" hidden="1" customHeight="1" x14ac:dyDescent="0.25">
      <c r="B139" s="68" t="s">
        <v>372</v>
      </c>
      <c r="C139" s="68" t="s">
        <v>708</v>
      </c>
      <c r="D139" s="59" t="s">
        <v>373</v>
      </c>
      <c r="E139" s="59" t="s">
        <v>700</v>
      </c>
      <c r="F139" s="59" t="s">
        <v>698</v>
      </c>
      <c r="G139" s="59" t="s">
        <v>543</v>
      </c>
      <c r="H139" s="59" t="s">
        <v>699</v>
      </c>
      <c r="I139" s="68" t="s">
        <v>467</v>
      </c>
      <c r="J139" s="68" t="s">
        <v>47</v>
      </c>
      <c r="K139" s="68" t="s">
        <v>47</v>
      </c>
      <c r="L139" s="68">
        <v>6134.9299999999994</v>
      </c>
      <c r="M139" s="68">
        <v>460.12</v>
      </c>
      <c r="N139" s="68">
        <v>460.12</v>
      </c>
      <c r="O139" s="68">
        <v>0</v>
      </c>
      <c r="P139" s="68">
        <v>0</v>
      </c>
      <c r="Q139" s="68">
        <v>5214.6900000000005</v>
      </c>
      <c r="R139" s="68">
        <v>0</v>
      </c>
      <c r="S139" s="69" t="s">
        <v>485</v>
      </c>
      <c r="T139" s="69" t="s">
        <v>500</v>
      </c>
      <c r="U139" s="69" t="s">
        <v>486</v>
      </c>
      <c r="V139" s="69">
        <v>2020</v>
      </c>
    </row>
    <row r="140" spans="2:22" s="7" customFormat="1" ht="102" hidden="1" customHeight="1" x14ac:dyDescent="0.25">
      <c r="B140" s="68" t="s">
        <v>374</v>
      </c>
      <c r="C140" s="68" t="s">
        <v>709</v>
      </c>
      <c r="D140" s="59" t="s">
        <v>375</v>
      </c>
      <c r="E140" s="59" t="s">
        <v>701</v>
      </c>
      <c r="F140" s="59" t="s">
        <v>698</v>
      </c>
      <c r="G140" s="59" t="s">
        <v>609</v>
      </c>
      <c r="H140" s="59" t="s">
        <v>699</v>
      </c>
      <c r="I140" s="68" t="s">
        <v>467</v>
      </c>
      <c r="J140" s="68" t="s">
        <v>47</v>
      </c>
      <c r="K140" s="68" t="s">
        <v>47</v>
      </c>
      <c r="L140" s="68">
        <v>7725.47</v>
      </c>
      <c r="M140" s="68">
        <v>579.41</v>
      </c>
      <c r="N140" s="68">
        <v>579.41</v>
      </c>
      <c r="O140" s="68">
        <v>0</v>
      </c>
      <c r="P140" s="68">
        <v>0</v>
      </c>
      <c r="Q140" s="68">
        <v>6566.65</v>
      </c>
      <c r="R140" s="68">
        <v>0</v>
      </c>
      <c r="S140" s="69" t="s">
        <v>485</v>
      </c>
      <c r="T140" s="69" t="s">
        <v>500</v>
      </c>
      <c r="U140" s="69" t="s">
        <v>503</v>
      </c>
      <c r="V140" s="69">
        <v>2022</v>
      </c>
    </row>
    <row r="141" spans="2:22" s="7" customFormat="1" ht="153" hidden="1" customHeight="1" x14ac:dyDescent="0.25">
      <c r="B141" s="68" t="s">
        <v>376</v>
      </c>
      <c r="C141" s="68" t="s">
        <v>710</v>
      </c>
      <c r="D141" s="59" t="s">
        <v>377</v>
      </c>
      <c r="E141" s="59" t="s">
        <v>702</v>
      </c>
      <c r="F141" s="59" t="s">
        <v>698</v>
      </c>
      <c r="G141" s="59" t="s">
        <v>520</v>
      </c>
      <c r="H141" s="59" t="s">
        <v>699</v>
      </c>
      <c r="I141" s="68" t="s">
        <v>467</v>
      </c>
      <c r="J141" s="68" t="s">
        <v>47</v>
      </c>
      <c r="K141" s="68" t="s">
        <v>47</v>
      </c>
      <c r="L141" s="81">
        <f>'2 lentelė'!L136</f>
        <v>200000</v>
      </c>
      <c r="M141" s="68">
        <v>0</v>
      </c>
      <c r="N141" s="68">
        <v>408.99</v>
      </c>
      <c r="O141" s="68">
        <v>0</v>
      </c>
      <c r="P141" s="68">
        <v>409</v>
      </c>
      <c r="Q141" s="68">
        <v>4635.28</v>
      </c>
      <c r="R141" s="68">
        <v>0</v>
      </c>
      <c r="S141" s="69" t="s">
        <v>485</v>
      </c>
      <c r="T141" s="69" t="s">
        <v>500</v>
      </c>
      <c r="U141" s="69" t="s">
        <v>486</v>
      </c>
      <c r="V141" s="69">
        <v>2022</v>
      </c>
    </row>
    <row r="142" spans="2:22" s="7" customFormat="1" ht="105" hidden="1" customHeight="1" x14ac:dyDescent="0.25">
      <c r="B142" s="68" t="s">
        <v>378</v>
      </c>
      <c r="C142" s="68" t="s">
        <v>711</v>
      </c>
      <c r="D142" s="59" t="s">
        <v>379</v>
      </c>
      <c r="E142" s="59" t="s">
        <v>703</v>
      </c>
      <c r="F142" s="59" t="s">
        <v>698</v>
      </c>
      <c r="G142" s="59" t="s">
        <v>704</v>
      </c>
      <c r="H142" s="59" t="s">
        <v>699</v>
      </c>
      <c r="I142" s="68" t="s">
        <v>467</v>
      </c>
      <c r="J142" s="68" t="s">
        <v>47</v>
      </c>
      <c r="K142" s="68" t="s">
        <v>47</v>
      </c>
      <c r="L142" s="68">
        <v>2271.7600000000002</v>
      </c>
      <c r="M142" s="68">
        <v>170.38</v>
      </c>
      <c r="N142" s="68">
        <v>170.38</v>
      </c>
      <c r="O142" s="68">
        <v>0</v>
      </c>
      <c r="P142" s="68">
        <v>0</v>
      </c>
      <c r="Q142" s="68">
        <v>1931</v>
      </c>
      <c r="R142" s="68">
        <v>0</v>
      </c>
      <c r="S142" s="69" t="s">
        <v>497</v>
      </c>
      <c r="T142" s="69" t="s">
        <v>486</v>
      </c>
      <c r="U142" s="69" t="s">
        <v>665</v>
      </c>
      <c r="V142" s="69">
        <v>2020</v>
      </c>
    </row>
    <row r="143" spans="2:22" s="7" customFormat="1" ht="162" hidden="1" customHeight="1" x14ac:dyDescent="0.25">
      <c r="B143" s="68" t="s">
        <v>380</v>
      </c>
      <c r="C143" s="68" t="s">
        <v>712</v>
      </c>
      <c r="D143" s="59" t="s">
        <v>381</v>
      </c>
      <c r="E143" s="59" t="s">
        <v>705</v>
      </c>
      <c r="F143" s="59" t="s">
        <v>698</v>
      </c>
      <c r="G143" s="59" t="s">
        <v>706</v>
      </c>
      <c r="H143" s="59" t="s">
        <v>699</v>
      </c>
      <c r="I143" s="68" t="s">
        <v>467</v>
      </c>
      <c r="J143" s="68" t="s">
        <v>47</v>
      </c>
      <c r="K143" s="68" t="s">
        <v>47</v>
      </c>
      <c r="L143" s="68">
        <v>6589.41</v>
      </c>
      <c r="M143" s="68">
        <v>0</v>
      </c>
      <c r="N143" s="68">
        <v>494.2</v>
      </c>
      <c r="O143" s="68">
        <v>0</v>
      </c>
      <c r="P143" s="68">
        <v>494.21</v>
      </c>
      <c r="Q143" s="68">
        <v>5601</v>
      </c>
      <c r="R143" s="68">
        <v>0</v>
      </c>
      <c r="S143" s="69" t="s">
        <v>485</v>
      </c>
      <c r="T143" s="69" t="s">
        <v>498</v>
      </c>
      <c r="U143" s="69" t="s">
        <v>665</v>
      </c>
      <c r="V143" s="69">
        <v>2022</v>
      </c>
    </row>
    <row r="144" spans="2:22" s="7" customFormat="1" ht="78.75" hidden="1" customHeight="1" x14ac:dyDescent="0.25">
      <c r="B144" s="28" t="s">
        <v>382</v>
      </c>
      <c r="C144" s="28"/>
      <c r="D144" s="28" t="s">
        <v>383</v>
      </c>
      <c r="E144" s="28"/>
      <c r="F144" s="28"/>
      <c r="G144" s="28"/>
      <c r="H144" s="28"/>
      <c r="I144" s="28"/>
      <c r="J144" s="28"/>
      <c r="K144" s="28"/>
      <c r="L144" s="28"/>
      <c r="M144" s="28"/>
      <c r="N144" s="28"/>
      <c r="O144" s="28"/>
      <c r="P144" s="28"/>
      <c r="Q144" s="28"/>
      <c r="R144" s="28"/>
      <c r="S144" s="28"/>
      <c r="T144" s="28"/>
      <c r="U144" s="28"/>
      <c r="V144" s="28"/>
    </row>
    <row r="145" spans="2:22" s="7" customFormat="1" ht="54" hidden="1" customHeight="1" x14ac:dyDescent="0.25">
      <c r="B145" s="30" t="s">
        <v>384</v>
      </c>
      <c r="C145" s="30"/>
      <c r="D145" s="30" t="s">
        <v>713</v>
      </c>
      <c r="E145" s="30"/>
      <c r="F145" s="30"/>
      <c r="G145" s="30"/>
      <c r="H145" s="30"/>
      <c r="I145" s="30"/>
      <c r="J145" s="30"/>
      <c r="K145" s="30"/>
      <c r="L145" s="30"/>
      <c r="M145" s="30"/>
      <c r="N145" s="30"/>
      <c r="O145" s="30"/>
      <c r="P145" s="30"/>
      <c r="Q145" s="30"/>
      <c r="R145" s="30"/>
      <c r="S145" s="30"/>
      <c r="T145" s="30"/>
      <c r="U145" s="30"/>
      <c r="V145" s="30"/>
    </row>
    <row r="146" spans="2:22" s="7" customFormat="1" ht="87.75" hidden="1" customHeight="1" x14ac:dyDescent="0.25">
      <c r="B146" s="32" t="s">
        <v>724</v>
      </c>
      <c r="C146" s="32" t="s">
        <v>727</v>
      </c>
      <c r="D146" s="45" t="s">
        <v>387</v>
      </c>
      <c r="E146" s="45" t="s">
        <v>714</v>
      </c>
      <c r="F146" s="45" t="s">
        <v>715</v>
      </c>
      <c r="G146" s="45" t="s">
        <v>465</v>
      </c>
      <c r="H146" s="45" t="s">
        <v>716</v>
      </c>
      <c r="I146" s="32" t="s">
        <v>467</v>
      </c>
      <c r="J146" s="32" t="s">
        <v>717</v>
      </c>
      <c r="K146" s="32" t="s">
        <v>717</v>
      </c>
      <c r="L146" s="32">
        <v>228530</v>
      </c>
      <c r="M146" s="32">
        <v>17141</v>
      </c>
      <c r="N146" s="32">
        <v>17139</v>
      </c>
      <c r="O146" s="32">
        <v>0</v>
      </c>
      <c r="P146" s="32">
        <v>0</v>
      </c>
      <c r="Q146" s="32">
        <v>194250</v>
      </c>
      <c r="R146" s="32">
        <v>0</v>
      </c>
      <c r="S146" s="47" t="s">
        <v>497</v>
      </c>
      <c r="T146" s="47" t="s">
        <v>500</v>
      </c>
      <c r="U146" s="47" t="s">
        <v>486</v>
      </c>
      <c r="V146" s="47">
        <v>2020</v>
      </c>
    </row>
    <row r="147" spans="2:22" s="7" customFormat="1" ht="141.75" hidden="1" customHeight="1" x14ac:dyDescent="0.25">
      <c r="B147" s="32" t="s">
        <v>725</v>
      </c>
      <c r="C147" s="32" t="s">
        <v>728</v>
      </c>
      <c r="D147" s="45" t="s">
        <v>389</v>
      </c>
      <c r="E147" s="45" t="s">
        <v>718</v>
      </c>
      <c r="F147" s="45" t="s">
        <v>715</v>
      </c>
      <c r="G147" s="45" t="s">
        <v>609</v>
      </c>
      <c r="H147" s="45" t="s">
        <v>716</v>
      </c>
      <c r="I147" s="32" t="s">
        <v>467</v>
      </c>
      <c r="J147" s="32" t="s">
        <v>47</v>
      </c>
      <c r="K147" s="32" t="s">
        <v>47</v>
      </c>
      <c r="L147" s="32">
        <v>207636</v>
      </c>
      <c r="M147" s="32">
        <v>15573</v>
      </c>
      <c r="N147" s="32">
        <v>15573</v>
      </c>
      <c r="O147" s="32">
        <v>0</v>
      </c>
      <c r="P147" s="32">
        <v>0</v>
      </c>
      <c r="Q147" s="32">
        <v>176490</v>
      </c>
      <c r="R147" s="32">
        <v>0</v>
      </c>
      <c r="S147" s="47" t="s">
        <v>577</v>
      </c>
      <c r="T147" s="47" t="s">
        <v>485</v>
      </c>
      <c r="U147" s="47" t="s">
        <v>498</v>
      </c>
      <c r="V147" s="47">
        <v>2022</v>
      </c>
    </row>
    <row r="148" spans="2:22" s="7" customFormat="1" ht="80.25" hidden="1" customHeight="1" x14ac:dyDescent="0.25">
      <c r="B148" s="32" t="s">
        <v>726</v>
      </c>
      <c r="C148" s="32" t="s">
        <v>729</v>
      </c>
      <c r="D148" s="45" t="s">
        <v>391</v>
      </c>
      <c r="E148" s="45" t="s">
        <v>719</v>
      </c>
      <c r="F148" s="45" t="s">
        <v>715</v>
      </c>
      <c r="G148" s="45" t="s">
        <v>520</v>
      </c>
      <c r="H148" s="45" t="s">
        <v>716</v>
      </c>
      <c r="I148" s="32" t="s">
        <v>467</v>
      </c>
      <c r="J148" s="32" t="s">
        <v>47</v>
      </c>
      <c r="K148" s="32" t="s">
        <v>47</v>
      </c>
      <c r="L148" s="32">
        <v>291784.71000000002</v>
      </c>
      <c r="M148" s="32">
        <v>21883.86</v>
      </c>
      <c r="N148" s="32">
        <v>21883.85</v>
      </c>
      <c r="O148" s="32">
        <v>0</v>
      </c>
      <c r="P148" s="32">
        <v>0</v>
      </c>
      <c r="Q148" s="32">
        <v>248017</v>
      </c>
      <c r="R148" s="32">
        <v>0</v>
      </c>
      <c r="S148" s="47" t="s">
        <v>485</v>
      </c>
      <c r="T148" s="47" t="s">
        <v>498</v>
      </c>
      <c r="U148" s="47" t="s">
        <v>665</v>
      </c>
      <c r="V148" s="47">
        <v>2022</v>
      </c>
    </row>
    <row r="149" spans="2:22" s="7" customFormat="1" ht="150.75" hidden="1" customHeight="1" x14ac:dyDescent="0.25">
      <c r="B149" s="32" t="s">
        <v>392</v>
      </c>
      <c r="C149" s="32" t="s">
        <v>730</v>
      </c>
      <c r="D149" s="45" t="s">
        <v>393</v>
      </c>
      <c r="E149" s="45" t="s">
        <v>720</v>
      </c>
      <c r="F149" s="45" t="s">
        <v>715</v>
      </c>
      <c r="G149" s="45" t="s">
        <v>721</v>
      </c>
      <c r="H149" s="45" t="s">
        <v>716</v>
      </c>
      <c r="I149" s="32" t="s">
        <v>467</v>
      </c>
      <c r="J149" s="32" t="s">
        <v>717</v>
      </c>
      <c r="K149" s="32" t="s">
        <v>717</v>
      </c>
      <c r="L149" s="32">
        <v>165830.57999999999</v>
      </c>
      <c r="M149" s="32">
        <v>12437.29</v>
      </c>
      <c r="N149" s="32">
        <v>12437.29</v>
      </c>
      <c r="O149" s="32">
        <v>0</v>
      </c>
      <c r="P149" s="32">
        <v>0</v>
      </c>
      <c r="Q149" s="32">
        <v>140956</v>
      </c>
      <c r="R149" s="32">
        <v>0</v>
      </c>
      <c r="S149" s="47" t="s">
        <v>577</v>
      </c>
      <c r="T149" s="47" t="s">
        <v>498</v>
      </c>
      <c r="U149" s="47" t="s">
        <v>486</v>
      </c>
      <c r="V149" s="47">
        <v>2020</v>
      </c>
    </row>
    <row r="150" spans="2:22" s="7" customFormat="1" ht="80.25" hidden="1" customHeight="1" x14ac:dyDescent="0.25">
      <c r="B150" s="32" t="s">
        <v>394</v>
      </c>
      <c r="C150" s="32" t="s">
        <v>731</v>
      </c>
      <c r="D150" s="45" t="s">
        <v>395</v>
      </c>
      <c r="E150" s="45" t="s">
        <v>722</v>
      </c>
      <c r="F150" s="45" t="s">
        <v>698</v>
      </c>
      <c r="G150" s="45" t="s">
        <v>543</v>
      </c>
      <c r="H150" s="45" t="s">
        <v>716</v>
      </c>
      <c r="I150" s="32" t="s">
        <v>467</v>
      </c>
      <c r="J150" s="32" t="s">
        <v>47</v>
      </c>
      <c r="K150" s="32" t="s">
        <v>47</v>
      </c>
      <c r="L150" s="32">
        <v>46794.12</v>
      </c>
      <c r="M150" s="32">
        <v>3509.56</v>
      </c>
      <c r="N150" s="32">
        <v>3509.56</v>
      </c>
      <c r="O150" s="32">
        <v>0</v>
      </c>
      <c r="P150" s="32">
        <v>0</v>
      </c>
      <c r="Q150" s="32">
        <v>39775</v>
      </c>
      <c r="R150" s="32">
        <v>0</v>
      </c>
      <c r="S150" s="47" t="s">
        <v>485</v>
      </c>
      <c r="T150" s="47" t="s">
        <v>500</v>
      </c>
      <c r="U150" s="47" t="s">
        <v>486</v>
      </c>
      <c r="V150" s="47">
        <v>2022</v>
      </c>
    </row>
    <row r="151" spans="2:22" s="7" customFormat="1" ht="105.75" hidden="1" customHeight="1" x14ac:dyDescent="0.25">
      <c r="B151" s="32" t="s">
        <v>396</v>
      </c>
      <c r="C151" s="32" t="s">
        <v>732</v>
      </c>
      <c r="D151" s="45" t="s">
        <v>397</v>
      </c>
      <c r="E151" s="45" t="s">
        <v>723</v>
      </c>
      <c r="F151" s="45" t="s">
        <v>698</v>
      </c>
      <c r="G151" s="45" t="s">
        <v>704</v>
      </c>
      <c r="H151" s="45" t="s">
        <v>716</v>
      </c>
      <c r="I151" s="32" t="s">
        <v>467</v>
      </c>
      <c r="J151" s="32" t="s">
        <v>47</v>
      </c>
      <c r="K151" s="32" t="s">
        <v>47</v>
      </c>
      <c r="L151" s="32">
        <v>54411.76</v>
      </c>
      <c r="M151" s="32">
        <v>4080.88</v>
      </c>
      <c r="N151" s="32">
        <v>4080.88</v>
      </c>
      <c r="O151" s="32">
        <v>0</v>
      </c>
      <c r="P151" s="32">
        <v>0</v>
      </c>
      <c r="Q151" s="32">
        <v>46250</v>
      </c>
      <c r="R151" s="32">
        <v>0</v>
      </c>
      <c r="S151" s="47" t="s">
        <v>577</v>
      </c>
      <c r="T151" s="47" t="s">
        <v>497</v>
      </c>
      <c r="U151" s="47" t="s">
        <v>500</v>
      </c>
      <c r="V151" s="47">
        <v>2018</v>
      </c>
    </row>
    <row r="152" spans="2:22" s="7" customFormat="1" ht="92.25" hidden="1" customHeight="1" x14ac:dyDescent="0.25">
      <c r="B152" s="28" t="s">
        <v>398</v>
      </c>
      <c r="C152" s="28"/>
      <c r="D152" s="28" t="s">
        <v>399</v>
      </c>
      <c r="E152" s="28"/>
      <c r="F152" s="28"/>
      <c r="G152" s="28"/>
      <c r="H152" s="28"/>
      <c r="I152" s="28"/>
      <c r="J152" s="28"/>
      <c r="K152" s="28"/>
      <c r="L152" s="28"/>
      <c r="M152" s="28"/>
      <c r="N152" s="28"/>
      <c r="O152" s="28"/>
      <c r="P152" s="28"/>
      <c r="Q152" s="28"/>
      <c r="R152" s="28"/>
      <c r="S152" s="28"/>
      <c r="T152" s="28"/>
      <c r="U152" s="28"/>
      <c r="V152" s="28"/>
    </row>
    <row r="153" spans="2:22" s="7" customFormat="1" ht="64.5" hidden="1" customHeight="1" x14ac:dyDescent="0.25">
      <c r="B153" s="30" t="s">
        <v>400</v>
      </c>
      <c r="C153" s="30"/>
      <c r="D153" s="30" t="s">
        <v>401</v>
      </c>
      <c r="E153" s="30"/>
      <c r="F153" s="30"/>
      <c r="G153" s="30"/>
      <c r="H153" s="30"/>
      <c r="I153" s="30"/>
      <c r="J153" s="30"/>
      <c r="K153" s="30"/>
      <c r="L153" s="30"/>
      <c r="M153" s="30"/>
      <c r="N153" s="30"/>
      <c r="O153" s="30"/>
      <c r="P153" s="30"/>
      <c r="Q153" s="30"/>
      <c r="R153" s="30"/>
      <c r="S153" s="30"/>
      <c r="T153" s="30"/>
      <c r="U153" s="30"/>
      <c r="V153" s="30"/>
    </row>
    <row r="154" spans="2:22" s="7" customFormat="1" ht="78.75" hidden="1" customHeight="1" x14ac:dyDescent="0.25">
      <c r="B154" s="32" t="s">
        <v>402</v>
      </c>
      <c r="C154" s="32" t="s">
        <v>736</v>
      </c>
      <c r="D154" s="45" t="s">
        <v>403</v>
      </c>
      <c r="E154" s="45" t="s">
        <v>463</v>
      </c>
      <c r="F154" s="45" t="s">
        <v>733</v>
      </c>
      <c r="G154" s="45" t="s">
        <v>470</v>
      </c>
      <c r="H154" s="45" t="s">
        <v>734</v>
      </c>
      <c r="I154" s="32" t="s">
        <v>467</v>
      </c>
      <c r="J154" s="32" t="s">
        <v>47</v>
      </c>
      <c r="K154" s="32" t="s">
        <v>47</v>
      </c>
      <c r="L154" s="32">
        <v>85183</v>
      </c>
      <c r="M154" s="32">
        <v>12778</v>
      </c>
      <c r="N154" s="32">
        <v>0</v>
      </c>
      <c r="O154" s="32">
        <v>0</v>
      </c>
      <c r="P154" s="32">
        <v>0</v>
      </c>
      <c r="Q154" s="68">
        <v>72405</v>
      </c>
      <c r="R154" s="32">
        <v>0</v>
      </c>
      <c r="S154" s="47" t="s">
        <v>509</v>
      </c>
      <c r="T154" s="47" t="s">
        <v>485</v>
      </c>
      <c r="U154" s="47" t="s">
        <v>486</v>
      </c>
      <c r="V154" s="47">
        <v>2019</v>
      </c>
    </row>
    <row r="155" spans="2:22" s="7" customFormat="1" ht="105.75" hidden="1" customHeight="1" x14ac:dyDescent="0.25">
      <c r="B155" s="32" t="s">
        <v>404</v>
      </c>
      <c r="C155" s="32" t="s">
        <v>737</v>
      </c>
      <c r="D155" s="45" t="s">
        <v>405</v>
      </c>
      <c r="E155" s="45" t="s">
        <v>405</v>
      </c>
      <c r="F155" s="45" t="s">
        <v>733</v>
      </c>
      <c r="G155" s="45" t="s">
        <v>553</v>
      </c>
      <c r="H155" s="45" t="s">
        <v>734</v>
      </c>
      <c r="I155" s="32" t="s">
        <v>467</v>
      </c>
      <c r="J155" s="32" t="s">
        <v>47</v>
      </c>
      <c r="K155" s="32" t="s">
        <v>47</v>
      </c>
      <c r="L155" s="32">
        <v>105700.73</v>
      </c>
      <c r="M155" s="32">
        <v>33295.730000000003</v>
      </c>
      <c r="N155" s="32">
        <v>0</v>
      </c>
      <c r="O155" s="32">
        <v>0</v>
      </c>
      <c r="P155" s="32">
        <v>0</v>
      </c>
      <c r="Q155" s="68">
        <v>72405</v>
      </c>
      <c r="R155" s="32">
        <v>0</v>
      </c>
      <c r="S155" s="47" t="s">
        <v>509</v>
      </c>
      <c r="T155" s="47" t="s">
        <v>497</v>
      </c>
      <c r="U155" s="47" t="s">
        <v>486</v>
      </c>
      <c r="V155" s="47">
        <v>2018</v>
      </c>
    </row>
    <row r="156" spans="2:22" s="7" customFormat="1" ht="82.5" hidden="1" customHeight="1" x14ac:dyDescent="0.25">
      <c r="B156" s="32" t="s">
        <v>406</v>
      </c>
      <c r="C156" s="32" t="s">
        <v>738</v>
      </c>
      <c r="D156" s="45" t="s">
        <v>407</v>
      </c>
      <c r="E156" s="45" t="s">
        <v>735</v>
      </c>
      <c r="F156" s="45" t="s">
        <v>733</v>
      </c>
      <c r="G156" s="45" t="s">
        <v>551</v>
      </c>
      <c r="H156" s="45" t="s">
        <v>734</v>
      </c>
      <c r="I156" s="32" t="s">
        <v>467</v>
      </c>
      <c r="J156" s="32" t="s">
        <v>47</v>
      </c>
      <c r="K156" s="32" t="s">
        <v>47</v>
      </c>
      <c r="L156" s="32">
        <v>50888</v>
      </c>
      <c r="M156" s="32">
        <v>7633</v>
      </c>
      <c r="N156" s="32">
        <v>0</v>
      </c>
      <c r="O156" s="32">
        <v>0</v>
      </c>
      <c r="P156" s="32">
        <v>0</v>
      </c>
      <c r="Q156" s="68">
        <v>43255</v>
      </c>
      <c r="R156" s="32">
        <v>0</v>
      </c>
      <c r="S156" s="47" t="s">
        <v>522</v>
      </c>
      <c r="T156" s="47" t="s">
        <v>501</v>
      </c>
      <c r="U156" s="47" t="s">
        <v>490</v>
      </c>
      <c r="V156" s="47">
        <v>2018</v>
      </c>
    </row>
    <row r="157" spans="2:22" s="7" customFormat="1" ht="120" hidden="1" customHeight="1" x14ac:dyDescent="0.25">
      <c r="B157" s="32" t="s">
        <v>408</v>
      </c>
      <c r="C157" s="32" t="s">
        <v>739</v>
      </c>
      <c r="D157" s="45" t="s">
        <v>409</v>
      </c>
      <c r="E157" s="45" t="s">
        <v>515</v>
      </c>
      <c r="F157" s="45" t="s">
        <v>733</v>
      </c>
      <c r="G157" s="45" t="s">
        <v>704</v>
      </c>
      <c r="H157" s="45" t="s">
        <v>734</v>
      </c>
      <c r="I157" s="32" t="s">
        <v>467</v>
      </c>
      <c r="J157" s="32" t="s">
        <v>468</v>
      </c>
      <c r="K157" s="32" t="s">
        <v>47</v>
      </c>
      <c r="L157" s="32">
        <v>1052677</v>
      </c>
      <c r="M157" s="32">
        <v>429994</v>
      </c>
      <c r="N157" s="32">
        <v>0</v>
      </c>
      <c r="O157" s="32">
        <v>0</v>
      </c>
      <c r="P157" s="32">
        <v>0</v>
      </c>
      <c r="Q157" s="68">
        <v>622683</v>
      </c>
      <c r="R157" s="32">
        <v>0</v>
      </c>
      <c r="S157" s="47" t="s">
        <v>577</v>
      </c>
      <c r="T157" s="47" t="s">
        <v>485</v>
      </c>
      <c r="U157" s="47" t="s">
        <v>486</v>
      </c>
      <c r="V157" s="47">
        <v>2020</v>
      </c>
    </row>
    <row r="158" spans="2:22" s="7" customFormat="1" ht="40.5" hidden="1" customHeight="1" x14ac:dyDescent="0.25">
      <c r="B158" s="30" t="s">
        <v>410</v>
      </c>
      <c r="C158" s="30"/>
      <c r="D158" s="30" t="s">
        <v>411</v>
      </c>
      <c r="E158" s="30"/>
      <c r="F158" s="30"/>
      <c r="G158" s="30"/>
      <c r="H158" s="30"/>
      <c r="I158" s="30"/>
      <c r="J158" s="30"/>
      <c r="K158" s="30"/>
      <c r="L158" s="30"/>
      <c r="M158" s="30"/>
      <c r="N158" s="30"/>
      <c r="O158" s="30"/>
      <c r="P158" s="30"/>
      <c r="Q158" s="30"/>
      <c r="R158" s="30"/>
      <c r="S158" s="30"/>
      <c r="T158" s="30"/>
      <c r="U158" s="30"/>
      <c r="V158" s="30"/>
    </row>
    <row r="159" spans="2:22" s="7" customFormat="1" ht="117" hidden="1" customHeight="1" x14ac:dyDescent="0.25">
      <c r="B159" s="32" t="s">
        <v>412</v>
      </c>
      <c r="C159" s="32" t="s">
        <v>744</v>
      </c>
      <c r="D159" s="45" t="s">
        <v>413</v>
      </c>
      <c r="E159" s="45" t="s">
        <v>512</v>
      </c>
      <c r="F159" s="45" t="s">
        <v>733</v>
      </c>
      <c r="G159" s="45" t="s">
        <v>513</v>
      </c>
      <c r="H159" s="45" t="s">
        <v>740</v>
      </c>
      <c r="I159" s="32" t="s">
        <v>467</v>
      </c>
      <c r="J159" s="32" t="s">
        <v>468</v>
      </c>
      <c r="K159" s="32" t="s">
        <v>47</v>
      </c>
      <c r="L159" s="32">
        <v>431079</v>
      </c>
      <c r="M159" s="32">
        <v>64661</v>
      </c>
      <c r="N159" s="32">
        <v>0</v>
      </c>
      <c r="O159" s="32">
        <v>0</v>
      </c>
      <c r="P159" s="32">
        <v>0</v>
      </c>
      <c r="Q159" s="32">
        <v>366418</v>
      </c>
      <c r="R159" s="32">
        <v>0</v>
      </c>
      <c r="S159" s="47" t="s">
        <v>593</v>
      </c>
      <c r="T159" s="47" t="s">
        <v>526</v>
      </c>
      <c r="U159" s="47" t="s">
        <v>490</v>
      </c>
      <c r="V159" s="47">
        <v>2019</v>
      </c>
    </row>
    <row r="160" spans="2:22" s="7" customFormat="1" ht="103.5" hidden="1" customHeight="1" x14ac:dyDescent="0.25">
      <c r="B160" s="32" t="s">
        <v>414</v>
      </c>
      <c r="C160" s="32" t="s">
        <v>745</v>
      </c>
      <c r="D160" s="45" t="s">
        <v>741</v>
      </c>
      <c r="E160" s="45" t="s">
        <v>515</v>
      </c>
      <c r="F160" s="45" t="s">
        <v>733</v>
      </c>
      <c r="G160" s="45" t="s">
        <v>555</v>
      </c>
      <c r="H160" s="45" t="s">
        <v>740</v>
      </c>
      <c r="I160" s="32" t="s">
        <v>467</v>
      </c>
      <c r="J160" s="32" t="s">
        <v>468</v>
      </c>
      <c r="K160" s="32" t="s">
        <v>47</v>
      </c>
      <c r="L160" s="32">
        <v>429341.5</v>
      </c>
      <c r="M160" s="32">
        <v>64401.23</v>
      </c>
      <c r="N160" s="32">
        <v>0</v>
      </c>
      <c r="O160" s="32">
        <v>0</v>
      </c>
      <c r="P160" s="32">
        <v>0</v>
      </c>
      <c r="Q160" s="32">
        <v>364940.27</v>
      </c>
      <c r="R160" s="32">
        <v>0</v>
      </c>
      <c r="S160" s="47" t="s">
        <v>742</v>
      </c>
      <c r="T160" s="47" t="s">
        <v>637</v>
      </c>
      <c r="U160" s="47" t="s">
        <v>545</v>
      </c>
      <c r="V160" s="47">
        <v>2019</v>
      </c>
    </row>
    <row r="161" spans="2:22" s="7" customFormat="1" ht="79.5" hidden="1" customHeight="1" x14ac:dyDescent="0.25">
      <c r="B161" s="32" t="s">
        <v>416</v>
      </c>
      <c r="C161" s="32" t="s">
        <v>746</v>
      </c>
      <c r="D161" s="45" t="s">
        <v>417</v>
      </c>
      <c r="E161" s="45" t="s">
        <v>463</v>
      </c>
      <c r="F161" s="45" t="s">
        <v>733</v>
      </c>
      <c r="G161" s="45" t="s">
        <v>470</v>
      </c>
      <c r="H161" s="45" t="s">
        <v>740</v>
      </c>
      <c r="I161" s="32" t="s">
        <v>467</v>
      </c>
      <c r="J161" s="32" t="s">
        <v>47</v>
      </c>
      <c r="K161" s="32" t="s">
        <v>47</v>
      </c>
      <c r="L161" s="32">
        <v>301124</v>
      </c>
      <c r="M161" s="32">
        <v>45169</v>
      </c>
      <c r="N161" s="32">
        <v>0</v>
      </c>
      <c r="O161" s="32">
        <v>0</v>
      </c>
      <c r="P161" s="32">
        <v>0</v>
      </c>
      <c r="Q161" s="32">
        <v>255955</v>
      </c>
      <c r="R161" s="32">
        <v>0</v>
      </c>
      <c r="S161" s="47" t="s">
        <v>742</v>
      </c>
      <c r="T161" s="47" t="s">
        <v>637</v>
      </c>
      <c r="U161" s="47" t="s">
        <v>522</v>
      </c>
      <c r="V161" s="47">
        <v>2018</v>
      </c>
    </row>
    <row r="162" spans="2:22" s="7" customFormat="1" ht="80.25" hidden="1" customHeight="1" x14ac:dyDescent="0.25">
      <c r="B162" s="32" t="s">
        <v>418</v>
      </c>
      <c r="C162" s="32" t="s">
        <v>747</v>
      </c>
      <c r="D162" s="45" t="s">
        <v>419</v>
      </c>
      <c r="E162" s="45" t="s">
        <v>478</v>
      </c>
      <c r="F162" s="45" t="s">
        <v>733</v>
      </c>
      <c r="G162" s="45" t="s">
        <v>479</v>
      </c>
      <c r="H162" s="45" t="s">
        <v>740</v>
      </c>
      <c r="I162" s="32" t="s">
        <v>467</v>
      </c>
      <c r="J162" s="32" t="s">
        <v>47</v>
      </c>
      <c r="K162" s="32" t="s">
        <v>47</v>
      </c>
      <c r="L162" s="32">
        <v>577160</v>
      </c>
      <c r="M162" s="32">
        <v>86575</v>
      </c>
      <c r="N162" s="32">
        <v>0</v>
      </c>
      <c r="O162" s="32">
        <v>0</v>
      </c>
      <c r="P162" s="32">
        <v>0</v>
      </c>
      <c r="Q162" s="32">
        <v>490585</v>
      </c>
      <c r="R162" s="32">
        <v>0</v>
      </c>
      <c r="S162" s="47" t="s">
        <v>593</v>
      </c>
      <c r="T162" s="47" t="s">
        <v>526</v>
      </c>
      <c r="U162" s="47" t="s">
        <v>545</v>
      </c>
      <c r="V162" s="47">
        <v>2020</v>
      </c>
    </row>
    <row r="163" spans="2:22" s="7" customFormat="1" ht="80.25" hidden="1" customHeight="1" x14ac:dyDescent="0.25">
      <c r="B163" s="32" t="s">
        <v>420</v>
      </c>
      <c r="C163" s="32" t="s">
        <v>748</v>
      </c>
      <c r="D163" s="45" t="s">
        <v>421</v>
      </c>
      <c r="E163" s="45" t="s">
        <v>550</v>
      </c>
      <c r="F163" s="45" t="s">
        <v>733</v>
      </c>
      <c r="G163" s="45" t="s">
        <v>551</v>
      </c>
      <c r="H163" s="45" t="s">
        <v>740</v>
      </c>
      <c r="I163" s="32" t="s">
        <v>467</v>
      </c>
      <c r="J163" s="32" t="s">
        <v>47</v>
      </c>
      <c r="K163" s="32" t="s">
        <v>47</v>
      </c>
      <c r="L163" s="32">
        <v>347740</v>
      </c>
      <c r="M163" s="32">
        <v>52161</v>
      </c>
      <c r="N163" s="32">
        <v>0</v>
      </c>
      <c r="O163" s="32">
        <v>0</v>
      </c>
      <c r="P163" s="32">
        <v>0</v>
      </c>
      <c r="Q163" s="32">
        <v>295579</v>
      </c>
      <c r="R163" s="32">
        <v>0</v>
      </c>
      <c r="S163" s="47" t="s">
        <v>742</v>
      </c>
      <c r="T163" s="47" t="s">
        <v>743</v>
      </c>
      <c r="U163" s="47" t="s">
        <v>545</v>
      </c>
      <c r="V163" s="47">
        <v>2020</v>
      </c>
    </row>
    <row r="164" spans="2:22" s="7" customFormat="1" ht="81.75" hidden="1" customHeight="1" x14ac:dyDescent="0.25">
      <c r="B164" s="32" t="s">
        <v>422</v>
      </c>
      <c r="C164" s="32" t="s">
        <v>749</v>
      </c>
      <c r="D164" s="45" t="s">
        <v>423</v>
      </c>
      <c r="E164" s="45" t="s">
        <v>519</v>
      </c>
      <c r="F164" s="45" t="s">
        <v>733</v>
      </c>
      <c r="G164" s="45" t="s">
        <v>520</v>
      </c>
      <c r="H164" s="45" t="s">
        <v>740</v>
      </c>
      <c r="I164" s="32" t="s">
        <v>467</v>
      </c>
      <c r="J164" s="32" t="s">
        <v>47</v>
      </c>
      <c r="K164" s="32" t="s">
        <v>47</v>
      </c>
      <c r="L164" s="32">
        <v>498295</v>
      </c>
      <c r="M164" s="32">
        <v>74744</v>
      </c>
      <c r="N164" s="32">
        <v>0</v>
      </c>
      <c r="O164" s="32">
        <v>0</v>
      </c>
      <c r="P164" s="32">
        <v>0</v>
      </c>
      <c r="Q164" s="32">
        <v>423551</v>
      </c>
      <c r="R164" s="32">
        <v>0</v>
      </c>
      <c r="S164" s="47" t="s">
        <v>593</v>
      </c>
      <c r="T164" s="47" t="s">
        <v>637</v>
      </c>
      <c r="U164" s="47" t="s">
        <v>622</v>
      </c>
      <c r="V164" s="47">
        <v>2020</v>
      </c>
    </row>
    <row r="165" spans="2:22" s="7" customFormat="1" ht="57.75" hidden="1" customHeight="1" x14ac:dyDescent="0.25">
      <c r="B165" s="28" t="s">
        <v>424</v>
      </c>
      <c r="C165" s="28"/>
      <c r="D165" s="28" t="s">
        <v>425</v>
      </c>
      <c r="E165" s="28"/>
      <c r="F165" s="28"/>
      <c r="G165" s="28"/>
      <c r="H165" s="28"/>
      <c r="I165" s="28"/>
      <c r="J165" s="28"/>
      <c r="K165" s="28"/>
      <c r="L165" s="28"/>
      <c r="M165" s="28"/>
      <c r="N165" s="28"/>
      <c r="O165" s="28"/>
      <c r="P165" s="28"/>
      <c r="Q165" s="28"/>
      <c r="R165" s="28"/>
      <c r="S165" s="28"/>
      <c r="T165" s="28"/>
      <c r="U165" s="28"/>
      <c r="V165" s="28"/>
    </row>
    <row r="166" spans="2:22" s="7" customFormat="1" ht="66" hidden="1" customHeight="1" x14ac:dyDescent="0.25">
      <c r="B166" s="30" t="s">
        <v>426</v>
      </c>
      <c r="C166" s="30"/>
      <c r="D166" s="30" t="s">
        <v>427</v>
      </c>
      <c r="E166" s="30"/>
      <c r="F166" s="30"/>
      <c r="G166" s="30"/>
      <c r="H166" s="30"/>
      <c r="I166" s="30"/>
      <c r="J166" s="30"/>
      <c r="K166" s="30"/>
      <c r="L166" s="30"/>
      <c r="M166" s="30"/>
      <c r="N166" s="30"/>
      <c r="O166" s="30"/>
      <c r="P166" s="30"/>
      <c r="Q166" s="30"/>
      <c r="R166" s="30"/>
      <c r="S166" s="30"/>
      <c r="T166" s="30"/>
      <c r="U166" s="30"/>
      <c r="V166" s="30"/>
    </row>
    <row r="167" spans="2:22" s="7" customFormat="1" ht="102.75" hidden="1" customHeight="1" x14ac:dyDescent="0.25">
      <c r="B167" s="32" t="s">
        <v>428</v>
      </c>
      <c r="C167" s="32" t="s">
        <v>761</v>
      </c>
      <c r="D167" s="45" t="s">
        <v>429</v>
      </c>
      <c r="E167" s="45" t="s">
        <v>512</v>
      </c>
      <c r="F167" s="45" t="s">
        <v>602</v>
      </c>
      <c r="G167" s="45" t="s">
        <v>513</v>
      </c>
      <c r="H167" s="45" t="s">
        <v>750</v>
      </c>
      <c r="I167" s="32" t="s">
        <v>467</v>
      </c>
      <c r="J167" s="32" t="s">
        <v>468</v>
      </c>
      <c r="K167" s="32" t="s">
        <v>47</v>
      </c>
      <c r="L167" s="32">
        <v>70588</v>
      </c>
      <c r="M167" s="32">
        <v>10588</v>
      </c>
      <c r="N167" s="32">
        <v>0</v>
      </c>
      <c r="O167" s="32">
        <v>0</v>
      </c>
      <c r="P167" s="32">
        <v>0</v>
      </c>
      <c r="Q167" s="32">
        <v>60000</v>
      </c>
      <c r="R167" s="32">
        <v>0</v>
      </c>
      <c r="S167" s="47" t="s">
        <v>493</v>
      </c>
      <c r="T167" s="47" t="s">
        <v>493</v>
      </c>
      <c r="U167" s="47" t="s">
        <v>523</v>
      </c>
      <c r="V167" s="47">
        <v>2018</v>
      </c>
    </row>
    <row r="168" spans="2:22" s="7" customFormat="1" ht="127.5" hidden="1" customHeight="1" x14ac:dyDescent="0.25">
      <c r="B168" s="32" t="s">
        <v>759</v>
      </c>
      <c r="C168" s="32" t="s">
        <v>762</v>
      </c>
      <c r="D168" s="45" t="s">
        <v>751</v>
      </c>
      <c r="E168" s="45" t="s">
        <v>752</v>
      </c>
      <c r="F168" s="45" t="s">
        <v>602</v>
      </c>
      <c r="G168" s="45" t="s">
        <v>551</v>
      </c>
      <c r="H168" s="45" t="s">
        <v>750</v>
      </c>
      <c r="I168" s="32" t="s">
        <v>467</v>
      </c>
      <c r="J168" s="32" t="s">
        <v>468</v>
      </c>
      <c r="K168" s="32" t="s">
        <v>47</v>
      </c>
      <c r="L168" s="32">
        <v>589242.17999999993</v>
      </c>
      <c r="M168" s="32">
        <v>148249.18</v>
      </c>
      <c r="N168" s="32">
        <v>0</v>
      </c>
      <c r="O168" s="32">
        <v>0</v>
      </c>
      <c r="P168" s="32">
        <v>20993</v>
      </c>
      <c r="Q168" s="32">
        <v>420000</v>
      </c>
      <c r="R168" s="32">
        <v>0</v>
      </c>
      <c r="S168" s="47" t="s">
        <v>493</v>
      </c>
      <c r="T168" s="47" t="s">
        <v>501</v>
      </c>
      <c r="U168" s="47" t="s">
        <v>505</v>
      </c>
      <c r="V168" s="47">
        <v>2018</v>
      </c>
    </row>
    <row r="169" spans="2:22" s="7" customFormat="1" ht="93.75" hidden="1" customHeight="1" x14ac:dyDescent="0.25">
      <c r="B169" s="32" t="s">
        <v>432</v>
      </c>
      <c r="C169" s="32" t="s">
        <v>763</v>
      </c>
      <c r="D169" s="45" t="s">
        <v>433</v>
      </c>
      <c r="E169" s="45" t="s">
        <v>478</v>
      </c>
      <c r="F169" s="45" t="s">
        <v>602</v>
      </c>
      <c r="G169" s="45" t="s">
        <v>479</v>
      </c>
      <c r="H169" s="45" t="s">
        <v>750</v>
      </c>
      <c r="I169" s="32" t="s">
        <v>467</v>
      </c>
      <c r="J169" s="32" t="s">
        <v>468</v>
      </c>
      <c r="K169" s="32" t="s">
        <v>47</v>
      </c>
      <c r="L169" s="32" t="s">
        <v>753</v>
      </c>
      <c r="M169" s="32">
        <v>39588.44</v>
      </c>
      <c r="N169" s="32">
        <v>0</v>
      </c>
      <c r="O169" s="32">
        <v>0</v>
      </c>
      <c r="P169" s="32">
        <v>0</v>
      </c>
      <c r="Q169" s="32">
        <v>224334.44</v>
      </c>
      <c r="R169" s="32">
        <v>0</v>
      </c>
      <c r="S169" s="47" t="s">
        <v>559</v>
      </c>
      <c r="T169" s="47" t="s">
        <v>578</v>
      </c>
      <c r="U169" s="47" t="s">
        <v>509</v>
      </c>
      <c r="V169" s="47">
        <v>2018</v>
      </c>
    </row>
    <row r="170" spans="2:22" s="7" customFormat="1" ht="164.25" hidden="1" customHeight="1" x14ac:dyDescent="0.25">
      <c r="B170" s="32" t="s">
        <v>434</v>
      </c>
      <c r="C170" s="32" t="s">
        <v>764</v>
      </c>
      <c r="D170" s="45" t="s">
        <v>435</v>
      </c>
      <c r="E170" s="45" t="s">
        <v>754</v>
      </c>
      <c r="F170" s="45" t="s">
        <v>602</v>
      </c>
      <c r="G170" s="45" t="s">
        <v>555</v>
      </c>
      <c r="H170" s="45" t="s">
        <v>750</v>
      </c>
      <c r="I170" s="32" t="s">
        <v>467</v>
      </c>
      <c r="J170" s="32" t="s">
        <v>468</v>
      </c>
      <c r="K170" s="32" t="s">
        <v>47</v>
      </c>
      <c r="L170" s="32">
        <v>749239.62</v>
      </c>
      <c r="M170" s="32">
        <v>112385.95</v>
      </c>
      <c r="N170" s="32">
        <v>0</v>
      </c>
      <c r="O170" s="32">
        <v>0</v>
      </c>
      <c r="P170" s="32">
        <v>0</v>
      </c>
      <c r="Q170" s="32">
        <v>636853.66999999993</v>
      </c>
      <c r="R170" s="32">
        <v>0</v>
      </c>
      <c r="S170" s="47" t="s">
        <v>507</v>
      </c>
      <c r="T170" s="47" t="s">
        <v>489</v>
      </c>
      <c r="U170" s="47" t="s">
        <v>505</v>
      </c>
      <c r="V170" s="47">
        <v>2018</v>
      </c>
    </row>
    <row r="171" spans="2:22" s="7" customFormat="1" ht="72.75" hidden="1" customHeight="1" x14ac:dyDescent="0.25">
      <c r="B171" s="32" t="s">
        <v>760</v>
      </c>
      <c r="C171" s="32" t="s">
        <v>765</v>
      </c>
      <c r="D171" s="45" t="s">
        <v>437</v>
      </c>
      <c r="E171" s="45" t="s">
        <v>755</v>
      </c>
      <c r="F171" s="45" t="s">
        <v>602</v>
      </c>
      <c r="G171" s="45" t="s">
        <v>756</v>
      </c>
      <c r="H171" s="45" t="s">
        <v>750</v>
      </c>
      <c r="I171" s="32" t="s">
        <v>467</v>
      </c>
      <c r="J171" s="32" t="s">
        <v>468</v>
      </c>
      <c r="K171" s="32" t="s">
        <v>47</v>
      </c>
      <c r="L171" s="32">
        <v>4000000</v>
      </c>
      <c r="M171" s="32">
        <v>0</v>
      </c>
      <c r="N171" s="32">
        <v>600000</v>
      </c>
      <c r="O171" s="32">
        <v>0</v>
      </c>
      <c r="P171" s="32">
        <v>0</v>
      </c>
      <c r="Q171" s="32">
        <v>3400000</v>
      </c>
      <c r="R171" s="32">
        <v>0</v>
      </c>
      <c r="S171" s="47" t="s">
        <v>559</v>
      </c>
      <c r="T171" s="47" t="s">
        <v>578</v>
      </c>
      <c r="U171" s="47" t="s">
        <v>509</v>
      </c>
      <c r="V171" s="47">
        <v>2019</v>
      </c>
    </row>
    <row r="172" spans="2:22" s="7" customFormat="1" ht="69" hidden="1" customHeight="1" x14ac:dyDescent="0.25">
      <c r="B172" s="32" t="s">
        <v>438</v>
      </c>
      <c r="C172" s="32" t="s">
        <v>766</v>
      </c>
      <c r="D172" s="45" t="s">
        <v>439</v>
      </c>
      <c r="E172" s="45" t="s">
        <v>757</v>
      </c>
      <c r="F172" s="45" t="s">
        <v>602</v>
      </c>
      <c r="G172" s="45" t="s">
        <v>520</v>
      </c>
      <c r="H172" s="45" t="s">
        <v>758</v>
      </c>
      <c r="I172" s="32" t="s">
        <v>467</v>
      </c>
      <c r="J172" s="32" t="s">
        <v>468</v>
      </c>
      <c r="K172" s="32" t="s">
        <v>47</v>
      </c>
      <c r="L172" s="32">
        <v>30195</v>
      </c>
      <c r="M172" s="32">
        <v>4530</v>
      </c>
      <c r="N172" s="32">
        <v>0</v>
      </c>
      <c r="O172" s="32">
        <v>0</v>
      </c>
      <c r="P172" s="32">
        <v>0</v>
      </c>
      <c r="Q172" s="32">
        <v>25665</v>
      </c>
      <c r="R172" s="32">
        <v>0</v>
      </c>
      <c r="S172" s="47" t="s">
        <v>509</v>
      </c>
      <c r="T172" s="47" t="s">
        <v>509</v>
      </c>
      <c r="U172" s="47" t="s">
        <v>509</v>
      </c>
      <c r="V172" s="47">
        <v>2018</v>
      </c>
    </row>
    <row r="173" spans="2:22" s="7" customFormat="1" ht="42.75" hidden="1" customHeight="1" x14ac:dyDescent="0.25">
      <c r="B173" s="28" t="s">
        <v>440</v>
      </c>
      <c r="C173" s="28"/>
      <c r="D173" s="28" t="s">
        <v>441</v>
      </c>
      <c r="E173" s="28"/>
      <c r="F173" s="28"/>
      <c r="G173" s="28"/>
      <c r="H173" s="28"/>
      <c r="I173" s="28"/>
      <c r="J173" s="28"/>
      <c r="K173" s="28"/>
      <c r="L173" s="28"/>
      <c r="M173" s="28"/>
      <c r="N173" s="28"/>
      <c r="O173" s="28"/>
      <c r="P173" s="28"/>
      <c r="Q173" s="28"/>
      <c r="R173" s="28"/>
      <c r="S173" s="28"/>
      <c r="T173" s="28"/>
      <c r="U173" s="28"/>
      <c r="V173" s="28"/>
    </row>
    <row r="174" spans="2:22" s="7" customFormat="1" ht="76.5" hidden="1" customHeight="1" x14ac:dyDescent="0.25">
      <c r="B174" s="30" t="s">
        <v>442</v>
      </c>
      <c r="C174" s="30"/>
      <c r="D174" s="30" t="s">
        <v>443</v>
      </c>
      <c r="E174" s="30"/>
      <c r="F174" s="30"/>
      <c r="G174" s="30"/>
      <c r="H174" s="30"/>
      <c r="I174" s="30"/>
      <c r="J174" s="30"/>
      <c r="K174" s="30"/>
      <c r="L174" s="30"/>
      <c r="M174" s="30"/>
      <c r="N174" s="30"/>
      <c r="O174" s="30"/>
      <c r="P174" s="30"/>
      <c r="Q174" s="30"/>
      <c r="R174" s="30"/>
      <c r="S174" s="30"/>
      <c r="T174" s="30"/>
      <c r="U174" s="30"/>
      <c r="V174" s="30"/>
    </row>
    <row r="175" spans="2:22" s="7" customFormat="1" ht="81" hidden="1" customHeight="1" x14ac:dyDescent="0.25">
      <c r="B175" s="32" t="s">
        <v>444</v>
      </c>
      <c r="C175" s="32" t="s">
        <v>781</v>
      </c>
      <c r="D175" s="45" t="s">
        <v>445</v>
      </c>
      <c r="E175" s="45" t="s">
        <v>515</v>
      </c>
      <c r="F175" s="45" t="s">
        <v>464</v>
      </c>
      <c r="G175" s="45" t="s">
        <v>767</v>
      </c>
      <c r="H175" s="45" t="s">
        <v>768</v>
      </c>
      <c r="I175" s="32" t="s">
        <v>467</v>
      </c>
      <c r="J175" s="32" t="s">
        <v>47</v>
      </c>
      <c r="K175" s="32" t="s">
        <v>47</v>
      </c>
      <c r="L175" s="32">
        <v>188236</v>
      </c>
      <c r="M175" s="32">
        <v>28236</v>
      </c>
      <c r="N175" s="32">
        <v>0</v>
      </c>
      <c r="O175" s="32">
        <v>0</v>
      </c>
      <c r="P175" s="32">
        <v>0</v>
      </c>
      <c r="Q175" s="32">
        <v>160000</v>
      </c>
      <c r="R175" s="32">
        <v>0</v>
      </c>
      <c r="S175" s="47" t="s">
        <v>559</v>
      </c>
      <c r="T175" s="47" t="s">
        <v>578</v>
      </c>
      <c r="U175" s="47" t="s">
        <v>509</v>
      </c>
      <c r="V175" s="47">
        <v>2019</v>
      </c>
    </row>
    <row r="176" spans="2:22" s="7" customFormat="1" ht="80.25" hidden="1" customHeight="1" x14ac:dyDescent="0.25">
      <c r="B176" s="32" t="s">
        <v>446</v>
      </c>
      <c r="C176" s="32" t="s">
        <v>782</v>
      </c>
      <c r="D176" s="45" t="s">
        <v>447</v>
      </c>
      <c r="E176" s="45" t="s">
        <v>478</v>
      </c>
      <c r="F176" s="45" t="s">
        <v>464</v>
      </c>
      <c r="G176" s="45" t="s">
        <v>479</v>
      </c>
      <c r="H176" s="45" t="s">
        <v>768</v>
      </c>
      <c r="I176" s="32" t="s">
        <v>467</v>
      </c>
      <c r="J176" s="32" t="s">
        <v>47</v>
      </c>
      <c r="K176" s="32" t="s">
        <v>47</v>
      </c>
      <c r="L176" s="32">
        <v>186665</v>
      </c>
      <c r="M176" s="32">
        <v>28000</v>
      </c>
      <c r="N176" s="32">
        <v>0</v>
      </c>
      <c r="O176" s="32">
        <v>0</v>
      </c>
      <c r="P176" s="32">
        <v>0</v>
      </c>
      <c r="Q176" s="32">
        <v>158665</v>
      </c>
      <c r="R176" s="32">
        <v>0</v>
      </c>
      <c r="S176" s="47" t="s">
        <v>559</v>
      </c>
      <c r="T176" s="47" t="s">
        <v>577</v>
      </c>
      <c r="U176" s="47" t="s">
        <v>485</v>
      </c>
      <c r="V176" s="47">
        <v>2019</v>
      </c>
    </row>
    <row r="177" spans="2:22" s="7" customFormat="1" ht="81" hidden="1" customHeight="1" x14ac:dyDescent="0.25">
      <c r="B177" s="32" t="s">
        <v>778</v>
      </c>
      <c r="C177" s="32" t="s">
        <v>783</v>
      </c>
      <c r="D177" s="45" t="s">
        <v>449</v>
      </c>
      <c r="E177" s="45" t="s">
        <v>550</v>
      </c>
      <c r="F177" s="45" t="s">
        <v>464</v>
      </c>
      <c r="G177" s="45" t="s">
        <v>551</v>
      </c>
      <c r="H177" s="45" t="s">
        <v>768</v>
      </c>
      <c r="I177" s="32" t="s">
        <v>467</v>
      </c>
      <c r="J177" s="32" t="s">
        <v>47</v>
      </c>
      <c r="K177" s="32" t="s">
        <v>47</v>
      </c>
      <c r="L177" s="32">
        <v>223998</v>
      </c>
      <c r="M177" s="32">
        <v>33600</v>
      </c>
      <c r="N177" s="32">
        <v>0</v>
      </c>
      <c r="O177" s="32">
        <v>0</v>
      </c>
      <c r="P177" s="32">
        <v>0</v>
      </c>
      <c r="Q177" s="32">
        <v>190398</v>
      </c>
      <c r="R177" s="32">
        <v>0</v>
      </c>
      <c r="S177" s="47" t="s">
        <v>488</v>
      </c>
      <c r="T177" s="47" t="s">
        <v>578</v>
      </c>
      <c r="U177" s="47" t="s">
        <v>509</v>
      </c>
      <c r="V177" s="47">
        <v>2019</v>
      </c>
    </row>
    <row r="178" spans="2:22" s="7" customFormat="1" ht="92.25" hidden="1" customHeight="1" x14ac:dyDescent="0.25">
      <c r="B178" s="32" t="s">
        <v>450</v>
      </c>
      <c r="C178" s="32" t="s">
        <v>784</v>
      </c>
      <c r="D178" s="45" t="s">
        <v>451</v>
      </c>
      <c r="E178" s="45" t="s">
        <v>769</v>
      </c>
      <c r="F178" s="45" t="s">
        <v>464</v>
      </c>
      <c r="G178" s="45" t="s">
        <v>520</v>
      </c>
      <c r="H178" s="45" t="s">
        <v>770</v>
      </c>
      <c r="I178" s="32" t="s">
        <v>467</v>
      </c>
      <c r="J178" s="32" t="s">
        <v>47</v>
      </c>
      <c r="K178" s="32" t="s">
        <v>47</v>
      </c>
      <c r="L178" s="32">
        <v>116665</v>
      </c>
      <c r="M178" s="32">
        <v>17500</v>
      </c>
      <c r="N178" s="32">
        <v>0</v>
      </c>
      <c r="O178" s="32">
        <v>0</v>
      </c>
      <c r="P178" s="32">
        <v>0</v>
      </c>
      <c r="Q178" s="32">
        <v>99165</v>
      </c>
      <c r="R178" s="32">
        <v>0</v>
      </c>
      <c r="S178" s="47" t="s">
        <v>509</v>
      </c>
      <c r="T178" s="47" t="s">
        <v>577</v>
      </c>
      <c r="U178" s="47" t="s">
        <v>500</v>
      </c>
      <c r="V178" s="47">
        <v>2019</v>
      </c>
    </row>
    <row r="179" spans="2:22" s="7" customFormat="1" ht="77.25" hidden="1" customHeight="1" x14ac:dyDescent="0.25">
      <c r="B179" s="32" t="s">
        <v>779</v>
      </c>
      <c r="C179" s="32" t="s">
        <v>785</v>
      </c>
      <c r="D179" s="45" t="s">
        <v>453</v>
      </c>
      <c r="E179" s="45" t="s">
        <v>463</v>
      </c>
      <c r="F179" s="45" t="s">
        <v>464</v>
      </c>
      <c r="G179" s="45" t="s">
        <v>771</v>
      </c>
      <c r="H179" s="45" t="s">
        <v>770</v>
      </c>
      <c r="I179" s="32" t="s">
        <v>467</v>
      </c>
      <c r="J179" s="32" t="s">
        <v>47</v>
      </c>
      <c r="K179" s="32" t="s">
        <v>47</v>
      </c>
      <c r="L179" s="32">
        <v>176471</v>
      </c>
      <c r="M179" s="32">
        <v>26471</v>
      </c>
      <c r="N179" s="32">
        <v>0</v>
      </c>
      <c r="O179" s="32">
        <v>0</v>
      </c>
      <c r="P179" s="32">
        <v>0</v>
      </c>
      <c r="Q179" s="32">
        <v>150000</v>
      </c>
      <c r="R179" s="32">
        <v>0</v>
      </c>
      <c r="S179" s="47" t="s">
        <v>559</v>
      </c>
      <c r="T179" s="47" t="s">
        <v>772</v>
      </c>
      <c r="U179" s="47" t="s">
        <v>773</v>
      </c>
      <c r="V179" s="47">
        <v>2019</v>
      </c>
    </row>
    <row r="180" spans="2:22" s="7" customFormat="1" ht="81.75" hidden="1" customHeight="1" x14ac:dyDescent="0.25">
      <c r="B180" s="32" t="s">
        <v>780</v>
      </c>
      <c r="C180" s="32" t="s">
        <v>786</v>
      </c>
      <c r="D180" s="45" t="s">
        <v>455</v>
      </c>
      <c r="E180" s="45" t="s">
        <v>512</v>
      </c>
      <c r="F180" s="45" t="s">
        <v>464</v>
      </c>
      <c r="G180" s="45" t="s">
        <v>543</v>
      </c>
      <c r="H180" s="45" t="s">
        <v>770</v>
      </c>
      <c r="I180" s="32" t="s">
        <v>467</v>
      </c>
      <c r="J180" s="32" t="s">
        <v>47</v>
      </c>
      <c r="K180" s="32" t="s">
        <v>47</v>
      </c>
      <c r="L180" s="32">
        <v>157956.47</v>
      </c>
      <c r="M180" s="32">
        <v>23693.47</v>
      </c>
      <c r="N180" s="32">
        <v>0</v>
      </c>
      <c r="O180" s="32">
        <v>0</v>
      </c>
      <c r="P180" s="32">
        <v>0</v>
      </c>
      <c r="Q180" s="32">
        <v>134263</v>
      </c>
      <c r="R180" s="32">
        <v>0</v>
      </c>
      <c r="S180" s="47" t="s">
        <v>559</v>
      </c>
      <c r="T180" s="47" t="s">
        <v>772</v>
      </c>
      <c r="U180" s="47" t="s">
        <v>774</v>
      </c>
      <c r="V180" s="47">
        <v>2020</v>
      </c>
    </row>
    <row r="181" spans="2:22" s="7" customFormat="1" ht="86.25" hidden="1" customHeight="1" x14ac:dyDescent="0.25">
      <c r="B181" s="32" t="s">
        <v>456</v>
      </c>
      <c r="C181" s="32" t="s">
        <v>787</v>
      </c>
      <c r="D181" s="45" t="s">
        <v>457</v>
      </c>
      <c r="E181" s="45" t="s">
        <v>769</v>
      </c>
      <c r="F181" s="45" t="s">
        <v>464</v>
      </c>
      <c r="G181" s="45" t="s">
        <v>520</v>
      </c>
      <c r="H181" s="45" t="s">
        <v>770</v>
      </c>
      <c r="I181" s="32" t="s">
        <v>467</v>
      </c>
      <c r="J181" s="32" t="s">
        <v>47</v>
      </c>
      <c r="K181" s="32" t="s">
        <v>47</v>
      </c>
      <c r="L181" s="32">
        <v>70000</v>
      </c>
      <c r="M181" s="32">
        <v>10500</v>
      </c>
      <c r="N181" s="32">
        <v>0</v>
      </c>
      <c r="O181" s="32">
        <v>0</v>
      </c>
      <c r="P181" s="32">
        <v>0</v>
      </c>
      <c r="Q181" s="32">
        <v>59500</v>
      </c>
      <c r="R181" s="32">
        <v>0</v>
      </c>
      <c r="S181" s="47" t="s">
        <v>775</v>
      </c>
      <c r="T181" s="47" t="s">
        <v>776</v>
      </c>
      <c r="U181" s="47" t="s">
        <v>777</v>
      </c>
      <c r="V181" s="47">
        <v>2020</v>
      </c>
    </row>
    <row r="182" spans="2:22" hidden="1" x14ac:dyDescent="0.25">
      <c r="B182" s="4" t="s">
        <v>148</v>
      </c>
      <c r="C182" s="7"/>
      <c r="D182" s="7"/>
      <c r="E182" s="7"/>
      <c r="F182" s="7"/>
      <c r="G182" s="7"/>
      <c r="H182" s="7"/>
      <c r="I182" s="7"/>
      <c r="J182" s="7"/>
      <c r="K182" s="7"/>
      <c r="L182" s="7"/>
      <c r="M182" s="7"/>
      <c r="N182" s="7"/>
      <c r="O182" s="7"/>
      <c r="P182" s="7"/>
      <c r="R182" s="7"/>
      <c r="S182" s="7"/>
      <c r="T182" s="7"/>
      <c r="U182" s="7"/>
      <c r="V182" s="7"/>
    </row>
    <row r="183" spans="2:22" hidden="1" x14ac:dyDescent="0.25">
      <c r="B183" s="4" t="s">
        <v>55</v>
      </c>
      <c r="C183" s="7"/>
      <c r="D183" s="7"/>
      <c r="E183" s="7"/>
      <c r="F183" s="7"/>
      <c r="G183" s="7"/>
      <c r="H183" s="7"/>
      <c r="I183" s="7"/>
      <c r="J183" s="7"/>
      <c r="K183" s="7"/>
      <c r="L183" s="7"/>
      <c r="M183" s="7"/>
      <c r="N183" s="7"/>
      <c r="O183" s="7"/>
      <c r="P183" s="7"/>
      <c r="R183" s="7"/>
      <c r="S183" s="7"/>
      <c r="T183" s="7"/>
      <c r="U183" s="7"/>
      <c r="V183" s="7"/>
    </row>
    <row r="184" spans="2:22" hidden="1" x14ac:dyDescent="0.25">
      <c r="B184" s="4" t="s">
        <v>56</v>
      </c>
      <c r="C184" s="7"/>
      <c r="D184" s="7"/>
      <c r="E184" s="7"/>
      <c r="F184" s="7"/>
      <c r="G184" s="7"/>
      <c r="H184" s="7"/>
      <c r="I184" s="7"/>
      <c r="J184" s="7"/>
      <c r="K184" s="7"/>
      <c r="L184" s="7"/>
      <c r="M184" s="7"/>
      <c r="N184" s="7"/>
      <c r="O184" s="7"/>
      <c r="P184" s="7"/>
      <c r="R184" s="7"/>
      <c r="S184" s="7"/>
      <c r="T184" s="7"/>
      <c r="U184" s="7"/>
      <c r="V184" s="7"/>
    </row>
    <row r="185" spans="2:22" ht="45.75" hidden="1" customHeight="1" x14ac:dyDescent="0.25">
      <c r="B185" s="155" t="s">
        <v>143</v>
      </c>
      <c r="C185" s="155"/>
      <c r="D185" s="155"/>
      <c r="E185" s="155"/>
      <c r="F185" s="155"/>
      <c r="G185" s="155"/>
      <c r="H185" s="155"/>
      <c r="I185" s="155"/>
      <c r="J185" s="155"/>
      <c r="K185" s="155"/>
      <c r="L185" s="155"/>
      <c r="M185" s="155"/>
      <c r="N185" s="155"/>
      <c r="O185" s="155"/>
      <c r="P185" s="155"/>
      <c r="Q185" s="155"/>
      <c r="R185" s="155"/>
      <c r="S185" s="155"/>
      <c r="T185" s="155"/>
      <c r="U185" s="155"/>
      <c r="V185" s="155"/>
    </row>
  </sheetData>
  <autoFilter ref="A6:V185"/>
  <mergeCells count="7">
    <mergeCell ref="B185:V185"/>
    <mergeCell ref="B5:K5"/>
    <mergeCell ref="L5:R5"/>
    <mergeCell ref="S5:V5"/>
    <mergeCell ref="S1:U1"/>
    <mergeCell ref="S2:U2"/>
    <mergeCell ref="S3:U3"/>
  </mergeCells>
  <pageMargins left="0.7" right="0.7"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85"/>
  <sheetViews>
    <sheetView zoomScale="90" zoomScaleNormal="90" workbookViewId="0">
      <pane ySplit="1" topLeftCell="A76" activePane="bottomLeft" state="frozen"/>
      <selection pane="bottomLeft" activeCell="J188" sqref="J188"/>
    </sheetView>
  </sheetViews>
  <sheetFormatPr defaultRowHeight="15" x14ac:dyDescent="0.25"/>
  <cols>
    <col min="1" max="1" width="4.42578125" style="7"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4" max="24" width="9.140625" hidden="1" customWidth="1"/>
    <col min="25" max="25" width="14.7109375" hidden="1" customWidth="1"/>
    <col min="26" max="30" width="9.140625" hidden="1" customWidth="1"/>
    <col min="31" max="31" width="12.85546875" hidden="1" customWidth="1"/>
  </cols>
  <sheetData>
    <row r="1" spans="2:31" ht="15.75" x14ac:dyDescent="0.25">
      <c r="T1" s="146" t="s">
        <v>142</v>
      </c>
      <c r="U1" s="146"/>
      <c r="V1" s="146"/>
      <c r="W1" s="146"/>
    </row>
    <row r="2" spans="2:31" ht="15.75" x14ac:dyDescent="0.25">
      <c r="T2" s="147" t="s">
        <v>24</v>
      </c>
      <c r="U2" s="147"/>
      <c r="V2" s="147"/>
      <c r="W2" s="147"/>
    </row>
    <row r="3" spans="2:31" s="7" customFormat="1" ht="15.75" x14ac:dyDescent="0.25">
      <c r="T3" s="147" t="s">
        <v>25</v>
      </c>
      <c r="U3" s="147"/>
      <c r="V3" s="147"/>
      <c r="W3" s="147"/>
    </row>
    <row r="5" spans="2:31" ht="15.75" x14ac:dyDescent="0.25">
      <c r="B5" s="1" t="s">
        <v>57</v>
      </c>
      <c r="C5" s="7"/>
      <c r="D5" s="7"/>
      <c r="E5" s="7"/>
      <c r="F5" s="7"/>
      <c r="G5" s="7"/>
      <c r="H5" s="7"/>
      <c r="I5" s="7"/>
      <c r="J5" s="7"/>
      <c r="K5" s="7"/>
      <c r="L5" s="7"/>
      <c r="M5" s="7"/>
      <c r="N5" s="7"/>
      <c r="O5" s="7"/>
      <c r="P5" s="7"/>
      <c r="Q5" s="7"/>
      <c r="R5" s="7"/>
      <c r="S5" s="7"/>
      <c r="T5" s="7"/>
      <c r="U5" s="7"/>
      <c r="V5" s="7"/>
      <c r="W5" s="7"/>
    </row>
    <row r="6" spans="2:31" x14ac:dyDescent="0.25">
      <c r="B6" s="149" t="s">
        <v>27</v>
      </c>
      <c r="C6" s="149"/>
      <c r="D6" s="149"/>
      <c r="E6" s="149"/>
      <c r="F6" s="149"/>
      <c r="G6" s="149"/>
      <c r="H6" s="149"/>
      <c r="I6" s="149"/>
      <c r="J6" s="149"/>
      <c r="K6" s="149"/>
      <c r="L6" s="149" t="s">
        <v>58</v>
      </c>
      <c r="M6" s="149"/>
      <c r="N6" s="149"/>
      <c r="O6" s="149"/>
      <c r="P6" s="149"/>
      <c r="Q6" s="149"/>
      <c r="R6" s="149"/>
      <c r="S6" s="149"/>
      <c r="T6" s="149"/>
      <c r="U6" s="149"/>
      <c r="V6" s="149"/>
      <c r="W6" s="149"/>
    </row>
    <row r="7" spans="2:31" ht="56.25" customHeight="1" x14ac:dyDescent="0.25">
      <c r="B7" s="156" t="s">
        <v>10</v>
      </c>
      <c r="C7" s="156" t="s">
        <v>137</v>
      </c>
      <c r="D7" s="156" t="s">
        <v>30</v>
      </c>
      <c r="E7" s="156" t="s">
        <v>147</v>
      </c>
      <c r="F7" s="156" t="s">
        <v>31</v>
      </c>
      <c r="G7" s="156" t="s">
        <v>32</v>
      </c>
      <c r="H7" s="160" t="s">
        <v>33</v>
      </c>
      <c r="I7" s="156" t="s">
        <v>149</v>
      </c>
      <c r="J7" s="156" t="s">
        <v>144</v>
      </c>
      <c r="K7" s="156" t="s">
        <v>59</v>
      </c>
      <c r="L7" s="156" t="s">
        <v>60</v>
      </c>
      <c r="M7" s="156" t="s">
        <v>61</v>
      </c>
      <c r="N7" s="156" t="s">
        <v>62</v>
      </c>
      <c r="O7" s="156" t="s">
        <v>63</v>
      </c>
      <c r="P7" s="156" t="s">
        <v>69</v>
      </c>
      <c r="Q7" s="156" t="s">
        <v>64</v>
      </c>
      <c r="R7" s="156" t="s">
        <v>65</v>
      </c>
      <c r="S7" s="156" t="s">
        <v>69</v>
      </c>
      <c r="T7" s="156" t="s">
        <v>66</v>
      </c>
      <c r="U7" s="156" t="s">
        <v>67</v>
      </c>
      <c r="V7" s="156" t="s">
        <v>69</v>
      </c>
      <c r="W7" s="156" t="s">
        <v>68</v>
      </c>
    </row>
    <row r="8" spans="2:31" ht="32.25" customHeight="1" x14ac:dyDescent="0.25">
      <c r="B8" s="156"/>
      <c r="C8" s="156"/>
      <c r="D8" s="156"/>
      <c r="E8" s="156"/>
      <c r="F8" s="156"/>
      <c r="G8" s="156"/>
      <c r="H8" s="160"/>
      <c r="I8" s="156"/>
      <c r="J8" s="156"/>
      <c r="K8" s="156"/>
      <c r="L8" s="156"/>
      <c r="M8" s="156"/>
      <c r="N8" s="156"/>
      <c r="O8" s="156"/>
      <c r="P8" s="156"/>
      <c r="Q8" s="156"/>
      <c r="R8" s="156"/>
      <c r="S8" s="156"/>
      <c r="T8" s="156"/>
      <c r="U8" s="156"/>
      <c r="V8" s="156"/>
      <c r="W8" s="156"/>
    </row>
    <row r="9" spans="2:31" ht="38.25" hidden="1" x14ac:dyDescent="0.25">
      <c r="B9" s="70" t="s">
        <v>14</v>
      </c>
      <c r="C9" s="70"/>
      <c r="D9" s="70" t="s">
        <v>971</v>
      </c>
      <c r="E9" s="73"/>
      <c r="F9" s="74"/>
      <c r="G9" s="74"/>
      <c r="H9" s="74"/>
      <c r="I9" s="74"/>
      <c r="J9" s="74"/>
      <c r="K9" s="74"/>
      <c r="L9" s="74"/>
      <c r="M9" s="74"/>
      <c r="N9" s="74"/>
      <c r="O9" s="74"/>
      <c r="P9" s="74"/>
      <c r="Q9" s="74"/>
      <c r="R9" s="74"/>
      <c r="S9" s="74"/>
      <c r="T9" s="74"/>
      <c r="U9" s="67"/>
      <c r="V9" s="67"/>
      <c r="W9" s="74"/>
      <c r="Y9" s="7"/>
    </row>
    <row r="10" spans="2:31" s="7" customFormat="1" ht="169.5" hidden="1" customHeight="1" x14ac:dyDescent="0.25">
      <c r="B10" s="33" t="s">
        <v>46</v>
      </c>
      <c r="C10" s="44"/>
      <c r="D10" s="33" t="s">
        <v>150</v>
      </c>
      <c r="E10" s="33"/>
      <c r="F10" s="44"/>
      <c r="G10" s="33"/>
      <c r="H10" s="33"/>
      <c r="I10" s="44"/>
      <c r="J10" s="33"/>
      <c r="K10" s="33"/>
      <c r="L10" s="44"/>
      <c r="M10" s="33"/>
      <c r="N10" s="33"/>
      <c r="O10" s="44"/>
      <c r="P10" s="33"/>
      <c r="Q10" s="33"/>
      <c r="R10" s="44"/>
      <c r="S10" s="33"/>
      <c r="T10" s="33"/>
      <c r="U10" s="44"/>
      <c r="V10" s="33"/>
      <c r="W10" s="33"/>
    </row>
    <row r="11" spans="2:31" s="7" customFormat="1" ht="108" hidden="1" customHeight="1" x14ac:dyDescent="0.25">
      <c r="B11" s="13" t="s">
        <v>48</v>
      </c>
      <c r="C11" s="28"/>
      <c r="D11" s="28" t="s">
        <v>151</v>
      </c>
      <c r="E11" s="28"/>
      <c r="F11" s="13"/>
      <c r="G11" s="28"/>
      <c r="H11" s="28"/>
      <c r="I11" s="28"/>
      <c r="J11" s="13"/>
      <c r="K11" s="28"/>
      <c r="L11" s="28"/>
      <c r="M11" s="28"/>
      <c r="N11" s="13"/>
      <c r="O11" s="28"/>
      <c r="P11" s="28"/>
      <c r="Q11" s="28"/>
      <c r="R11" s="13"/>
      <c r="S11" s="28"/>
      <c r="T11" s="28"/>
      <c r="U11" s="28"/>
      <c r="V11" s="13"/>
      <c r="W11" s="28"/>
    </row>
    <row r="12" spans="2:31" s="7" customFormat="1" ht="26.25" customHeight="1" x14ac:dyDescent="0.25">
      <c r="B12" s="30" t="s">
        <v>49</v>
      </c>
      <c r="C12" s="30"/>
      <c r="D12" s="30" t="s">
        <v>458</v>
      </c>
      <c r="E12" s="30"/>
      <c r="F12" s="30"/>
      <c r="G12" s="30"/>
      <c r="H12" s="30"/>
      <c r="I12" s="30"/>
      <c r="J12" s="30"/>
      <c r="K12" s="30"/>
      <c r="L12" s="30"/>
      <c r="M12" s="30"/>
      <c r="N12" s="30"/>
      <c r="O12" s="30"/>
      <c r="P12" s="30"/>
      <c r="Q12" s="30"/>
      <c r="R12" s="30"/>
      <c r="S12" s="30"/>
      <c r="T12" s="30"/>
      <c r="U12" s="30"/>
      <c r="V12" s="30"/>
      <c r="W12" s="30"/>
      <c r="Y12" s="66"/>
      <c r="Z12" s="102" t="s">
        <v>953</v>
      </c>
      <c r="AA12" s="55" t="s">
        <v>954</v>
      </c>
      <c r="AB12" s="55" t="s">
        <v>955</v>
      </c>
      <c r="AC12" s="56" t="s">
        <v>956</v>
      </c>
      <c r="AD12" s="56" t="s">
        <v>518</v>
      </c>
      <c r="AE12" s="56" t="s">
        <v>957</v>
      </c>
    </row>
    <row r="13" spans="2:31" s="7" customFormat="1" ht="64.5" hidden="1" customHeight="1" x14ac:dyDescent="0.25">
      <c r="B13" s="20" t="s">
        <v>50</v>
      </c>
      <c r="C13" s="20" t="s">
        <v>529</v>
      </c>
      <c r="D13" s="20" t="s">
        <v>153</v>
      </c>
      <c r="E13" s="25" t="s">
        <v>463</v>
      </c>
      <c r="F13" s="45" t="s">
        <v>464</v>
      </c>
      <c r="G13" s="45" t="s">
        <v>465</v>
      </c>
      <c r="H13" s="45" t="s">
        <v>466</v>
      </c>
      <c r="I13" s="45" t="s">
        <v>467</v>
      </c>
      <c r="J13" s="45" t="s">
        <v>468</v>
      </c>
      <c r="K13" s="45" t="s">
        <v>47</v>
      </c>
      <c r="L13" s="45" t="s">
        <v>788</v>
      </c>
      <c r="M13" s="45" t="s">
        <v>789</v>
      </c>
      <c r="N13" s="45">
        <v>5500</v>
      </c>
      <c r="O13" s="45" t="s">
        <v>790</v>
      </c>
      <c r="P13" s="45" t="s">
        <v>791</v>
      </c>
      <c r="Q13" s="45">
        <v>840</v>
      </c>
      <c r="R13" s="45"/>
      <c r="S13" s="45"/>
      <c r="T13" s="45"/>
      <c r="U13" s="20"/>
      <c r="V13" s="20"/>
      <c r="W13" s="45"/>
      <c r="Y13" s="66" t="s">
        <v>788</v>
      </c>
      <c r="Z13" s="66">
        <f>SUMIF(L:L,"P.B.238",N:N)</f>
        <v>492750.5</v>
      </c>
      <c r="AA13" s="7">
        <f>SUMIF(O:O,"P.B.238",Q:Q)</f>
        <v>0</v>
      </c>
      <c r="AB13" s="7">
        <f>SUMIF(R:R,"P.B.238",T:T)</f>
        <v>0</v>
      </c>
      <c r="AC13" s="7">
        <f>SUMIF(U:U,"P.B.238",W:W)</f>
        <v>0</v>
      </c>
      <c r="AD13" s="7">
        <f>SUMIF(X:X,"P.B.238",Z:Z)</f>
        <v>0</v>
      </c>
      <c r="AE13" s="57">
        <f>Z13+AA13+AB13+AC13+AD13</f>
        <v>492750.5</v>
      </c>
    </row>
    <row r="14" spans="2:31" s="7" customFormat="1" ht="63.75" hidden="1" customHeight="1" x14ac:dyDescent="0.25">
      <c r="B14" s="20" t="s">
        <v>51</v>
      </c>
      <c r="C14" s="20" t="s">
        <v>530</v>
      </c>
      <c r="D14" s="20" t="s">
        <v>469</v>
      </c>
      <c r="E14" s="25" t="s">
        <v>463</v>
      </c>
      <c r="F14" s="45" t="s">
        <v>464</v>
      </c>
      <c r="G14" s="45" t="s">
        <v>470</v>
      </c>
      <c r="H14" s="45" t="s">
        <v>466</v>
      </c>
      <c r="I14" s="45" t="s">
        <v>467</v>
      </c>
      <c r="J14" s="45" t="s">
        <v>468</v>
      </c>
      <c r="K14" s="45" t="s">
        <v>47</v>
      </c>
      <c r="L14" s="45" t="s">
        <v>788</v>
      </c>
      <c r="M14" s="45" t="s">
        <v>789</v>
      </c>
      <c r="N14" s="45">
        <v>5300</v>
      </c>
      <c r="O14" s="45"/>
      <c r="P14" s="45"/>
      <c r="Q14" s="45"/>
      <c r="R14" s="45"/>
      <c r="S14" s="45"/>
      <c r="T14" s="45"/>
      <c r="U14" s="20"/>
      <c r="V14" s="20"/>
      <c r="W14" s="45"/>
      <c r="Y14" s="66" t="s">
        <v>867</v>
      </c>
      <c r="Z14" s="66">
        <f>SUMIF(L:L,"P.B.235",N:N)</f>
        <v>0</v>
      </c>
      <c r="AA14" s="7">
        <f>SUMIF(O:O,"P.B.235",Q:Q)</f>
        <v>2006</v>
      </c>
      <c r="AB14" s="7">
        <f>SUMIF(R:R,"P.B.235",T:T)</f>
        <v>305</v>
      </c>
      <c r="AC14" s="7">
        <f>SUMIF(U:U,"P.B.235",W:W)</f>
        <v>0</v>
      </c>
      <c r="AD14" s="7">
        <f>SUMIF(X:X,"P.B.235",Z:Z)</f>
        <v>0</v>
      </c>
      <c r="AE14" s="57">
        <f>Z14+AA14+AB14+AC14+AD14</f>
        <v>2311</v>
      </c>
    </row>
    <row r="15" spans="2:31" s="7" customFormat="1" ht="63.75" hidden="1" customHeight="1" x14ac:dyDescent="0.25">
      <c r="B15" s="20" t="s">
        <v>155</v>
      </c>
      <c r="C15" s="20" t="s">
        <v>531</v>
      </c>
      <c r="D15" s="20" t="s">
        <v>156</v>
      </c>
      <c r="E15" s="25" t="s">
        <v>463</v>
      </c>
      <c r="F15" s="45" t="s">
        <v>464</v>
      </c>
      <c r="G15" s="45" t="s">
        <v>470</v>
      </c>
      <c r="H15" s="45" t="s">
        <v>466</v>
      </c>
      <c r="I15" s="45" t="s">
        <v>467</v>
      </c>
      <c r="J15" s="45" t="s">
        <v>468</v>
      </c>
      <c r="K15" s="45" t="s">
        <v>47</v>
      </c>
      <c r="L15" s="45" t="s">
        <v>788</v>
      </c>
      <c r="M15" s="45" t="s">
        <v>789</v>
      </c>
      <c r="N15" s="45">
        <v>98869</v>
      </c>
      <c r="O15" s="45"/>
      <c r="P15" s="45"/>
      <c r="Q15" s="45"/>
      <c r="R15" s="45"/>
      <c r="S15" s="45"/>
      <c r="T15" s="45"/>
      <c r="U15" s="20"/>
      <c r="V15" s="20"/>
      <c r="W15" s="45"/>
      <c r="Y15" s="66" t="s">
        <v>821</v>
      </c>
      <c r="Z15" s="66">
        <f>SUMIF(L:L,"P.B.209",N:N)</f>
        <v>0</v>
      </c>
      <c r="AA15" s="7">
        <f>SUMIF(O:O,"P.B.209",Q:Q)</f>
        <v>3870</v>
      </c>
      <c r="AB15" s="7">
        <f>SUMIF(R:R,"P.B.209",T:T)</f>
        <v>0</v>
      </c>
      <c r="AC15" s="7">
        <f>SUMIF(U:U,"P.B.209",W:W)</f>
        <v>0</v>
      </c>
      <c r="AD15" s="7">
        <f>SUMIF(X:X,"P.B.209",Z:Z)</f>
        <v>0</v>
      </c>
      <c r="AE15" s="57">
        <f t="shared" ref="AE15:AE17" si="0">Z15+AA15+AB15+AC15+AD15</f>
        <v>3870</v>
      </c>
    </row>
    <row r="16" spans="2:31" s="7" customFormat="1" ht="67.5" hidden="1" customHeight="1" x14ac:dyDescent="0.25">
      <c r="B16" s="20" t="s">
        <v>459</v>
      </c>
      <c r="C16" s="20" t="s">
        <v>532</v>
      </c>
      <c r="D16" s="20" t="s">
        <v>471</v>
      </c>
      <c r="E16" s="25" t="s">
        <v>472</v>
      </c>
      <c r="F16" s="45" t="s">
        <v>473</v>
      </c>
      <c r="G16" s="45" t="s">
        <v>474</v>
      </c>
      <c r="H16" s="45" t="s">
        <v>466</v>
      </c>
      <c r="I16" s="45" t="s">
        <v>475</v>
      </c>
      <c r="J16" s="45" t="s">
        <v>476</v>
      </c>
      <c r="K16" s="45" t="s">
        <v>477</v>
      </c>
      <c r="L16" s="45" t="s">
        <v>788</v>
      </c>
      <c r="M16" s="45" t="s">
        <v>789</v>
      </c>
      <c r="N16" s="45">
        <v>22620.5</v>
      </c>
      <c r="O16" s="45"/>
      <c r="P16" s="45"/>
      <c r="Q16" s="45"/>
      <c r="R16" s="45"/>
      <c r="S16" s="45"/>
      <c r="T16" s="45"/>
      <c r="U16" s="20"/>
      <c r="V16" s="20"/>
      <c r="W16" s="45"/>
      <c r="Y16" s="58" t="s">
        <v>804</v>
      </c>
      <c r="Z16" s="66">
        <f>SUMIF(L:L,"P.B.214",N:N)</f>
        <v>5.3719999999999999</v>
      </c>
      <c r="AA16" s="7">
        <f>SUMIF(O:O,"P.B.214",Q:Q)</f>
        <v>0</v>
      </c>
      <c r="AB16" s="7">
        <f>SUMIF(R:R,"P.B.214",T:T)</f>
        <v>0</v>
      </c>
      <c r="AC16" s="7">
        <f>SUMIF(U:U,"P.B.214",W:W)</f>
        <v>0</v>
      </c>
      <c r="AD16" s="7">
        <f>SUMIF(X:X,"P.B.214",Z:Z)</f>
        <v>0</v>
      </c>
      <c r="AE16" s="105">
        <f t="shared" si="0"/>
        <v>5.3719999999999999</v>
      </c>
    </row>
    <row r="17" spans="2:31" s="7" customFormat="1" ht="79.5" hidden="1" customHeight="1" x14ac:dyDescent="0.25">
      <c r="B17" s="20" t="s">
        <v>159</v>
      </c>
      <c r="C17" s="20" t="s">
        <v>533</v>
      </c>
      <c r="D17" s="20" t="s">
        <v>160</v>
      </c>
      <c r="E17" s="25" t="s">
        <v>478</v>
      </c>
      <c r="F17" s="45" t="s">
        <v>464</v>
      </c>
      <c r="G17" s="45" t="s">
        <v>479</v>
      </c>
      <c r="H17" s="45" t="s">
        <v>466</v>
      </c>
      <c r="I17" s="45" t="s">
        <v>467</v>
      </c>
      <c r="J17" s="45" t="s">
        <v>468</v>
      </c>
      <c r="K17" s="45" t="s">
        <v>47</v>
      </c>
      <c r="L17" s="45" t="s">
        <v>788</v>
      </c>
      <c r="M17" s="45" t="s">
        <v>792</v>
      </c>
      <c r="N17" s="45">
        <v>30000</v>
      </c>
      <c r="O17" s="45"/>
      <c r="P17" s="45"/>
      <c r="Q17" s="45"/>
      <c r="R17" s="45"/>
      <c r="S17" s="45"/>
      <c r="T17" s="45"/>
      <c r="U17" s="20"/>
      <c r="V17" s="20"/>
      <c r="W17" s="45"/>
      <c r="Y17" s="66" t="s">
        <v>867</v>
      </c>
      <c r="Z17" s="66">
        <f>SUMIF(L:L,"P.B.235",N:N)</f>
        <v>0</v>
      </c>
      <c r="AA17" s="7">
        <f>SUMIF(O:O,"P.B.235",Q:Q)</f>
        <v>2006</v>
      </c>
      <c r="AB17" s="7">
        <f>SUMIF(R:R,"P.B.235",T:T)</f>
        <v>305</v>
      </c>
      <c r="AC17" s="7">
        <f>SUMIF(U:U,"P.B.235",W:W)</f>
        <v>0</v>
      </c>
      <c r="AD17" s="7">
        <f>SUMIF(X:X,"P.B.214",Z:Z)</f>
        <v>0</v>
      </c>
      <c r="AE17" s="57">
        <f t="shared" si="0"/>
        <v>2311</v>
      </c>
    </row>
    <row r="18" spans="2:31" s="7" customFormat="1" ht="62.25" hidden="1" customHeight="1" x14ac:dyDescent="0.25">
      <c r="B18" s="20" t="s">
        <v>161</v>
      </c>
      <c r="C18" s="20" t="s">
        <v>534</v>
      </c>
      <c r="D18" s="20" t="s">
        <v>480</v>
      </c>
      <c r="E18" s="25" t="s">
        <v>478</v>
      </c>
      <c r="F18" s="45" t="s">
        <v>464</v>
      </c>
      <c r="G18" s="45" t="s">
        <v>479</v>
      </c>
      <c r="H18" s="45" t="s">
        <v>466</v>
      </c>
      <c r="I18" s="45" t="s">
        <v>467</v>
      </c>
      <c r="J18" s="45" t="s">
        <v>468</v>
      </c>
      <c r="K18" s="45" t="s">
        <v>47</v>
      </c>
      <c r="L18" s="45" t="s">
        <v>788</v>
      </c>
      <c r="M18" s="45" t="s">
        <v>792</v>
      </c>
      <c r="N18" s="45">
        <v>4000</v>
      </c>
      <c r="O18" s="45"/>
      <c r="P18" s="45"/>
      <c r="Q18" s="45"/>
      <c r="R18" s="45"/>
      <c r="S18" s="45"/>
      <c r="T18" s="45"/>
      <c r="U18" s="20"/>
      <c r="V18" s="20"/>
      <c r="W18" s="45"/>
      <c r="Y18" s="66" t="s">
        <v>790</v>
      </c>
      <c r="Z18" s="66">
        <f>SUMIF(L:L,"P.B.239",N:N)</f>
        <v>0</v>
      </c>
      <c r="AA18" s="7">
        <f>SUMIF(O:O,"P.B.239",Q:Q)</f>
        <v>2140</v>
      </c>
      <c r="AB18" s="7">
        <f>SUMIF(R:R,"P.B.239",T:T)</f>
        <v>0</v>
      </c>
      <c r="AC18" s="7">
        <f>SUMIF(U:U,"P.B.239",W:W)</f>
        <v>0</v>
      </c>
      <c r="AD18" s="7">
        <f>SUMIF(X:X,"P.B.239",Z:Z)</f>
        <v>0</v>
      </c>
      <c r="AE18" s="57">
        <f t="shared" ref="AE18" si="1">Z18+AA18+AB18+AC18+AD18</f>
        <v>2140</v>
      </c>
    </row>
    <row r="19" spans="2:31" s="112" customFormat="1" ht="78" customHeight="1" x14ac:dyDescent="0.25">
      <c r="B19" s="68" t="s">
        <v>163</v>
      </c>
      <c r="C19" s="68" t="s">
        <v>535</v>
      </c>
      <c r="D19" s="68" t="s">
        <v>164</v>
      </c>
      <c r="E19" s="128" t="s">
        <v>481</v>
      </c>
      <c r="F19" s="115" t="s">
        <v>473</v>
      </c>
      <c r="G19" s="115" t="s">
        <v>482</v>
      </c>
      <c r="H19" s="115" t="s">
        <v>466</v>
      </c>
      <c r="I19" s="115" t="s">
        <v>475</v>
      </c>
      <c r="J19" s="115" t="s">
        <v>476</v>
      </c>
      <c r="K19" s="115" t="s">
        <v>477</v>
      </c>
      <c r="L19" s="115" t="s">
        <v>788</v>
      </c>
      <c r="M19" s="115" t="s">
        <v>789</v>
      </c>
      <c r="N19" s="126">
        <v>1050</v>
      </c>
      <c r="O19" s="115" t="s">
        <v>790</v>
      </c>
      <c r="P19" s="115" t="s">
        <v>791</v>
      </c>
      <c r="Q19" s="126">
        <v>500</v>
      </c>
      <c r="R19" s="53"/>
      <c r="S19" s="53"/>
      <c r="T19" s="53"/>
      <c r="U19" s="32"/>
      <c r="V19" s="32"/>
      <c r="W19" s="53"/>
      <c r="Y19" s="129" t="s">
        <v>843</v>
      </c>
      <c r="Z19" s="129">
        <f>SUMIF(L:L,"P.N.028",N:N)</f>
        <v>0</v>
      </c>
      <c r="AA19" s="112">
        <f>SUMIF(O:O,"P.N.028",Q:Q)</f>
        <v>20.25</v>
      </c>
      <c r="AB19" s="112">
        <f>SUMIF(R:R,"P.N.028",T:T)</f>
        <v>0</v>
      </c>
      <c r="AC19" s="112">
        <f>SUMIF(U:U,"P.N.028",W:W)</f>
        <v>0</v>
      </c>
      <c r="AD19" s="112">
        <f>SUMIF(X:X,"P.N.028",Z:Z)</f>
        <v>0</v>
      </c>
      <c r="AE19" s="130">
        <f t="shared" ref="AE19" si="2">Z19+AA19+AB19+AC19+AD19</f>
        <v>20.25</v>
      </c>
    </row>
    <row r="20" spans="2:31" s="112" customFormat="1" ht="140.25" hidden="1" x14ac:dyDescent="0.25">
      <c r="B20" s="32" t="s">
        <v>165</v>
      </c>
      <c r="C20" s="32" t="s">
        <v>536</v>
      </c>
      <c r="D20" s="32" t="s">
        <v>166</v>
      </c>
      <c r="E20" s="131" t="s">
        <v>481</v>
      </c>
      <c r="F20" s="53" t="s">
        <v>473</v>
      </c>
      <c r="G20" s="53" t="s">
        <v>482</v>
      </c>
      <c r="H20" s="53" t="s">
        <v>466</v>
      </c>
      <c r="I20" s="53" t="s">
        <v>467</v>
      </c>
      <c r="J20" s="53" t="s">
        <v>468</v>
      </c>
      <c r="K20" s="53" t="s">
        <v>47</v>
      </c>
      <c r="L20" s="53" t="s">
        <v>788</v>
      </c>
      <c r="M20" s="53" t="s">
        <v>789</v>
      </c>
      <c r="N20" s="53">
        <v>16904</v>
      </c>
      <c r="O20" s="53"/>
      <c r="P20" s="53"/>
      <c r="Q20" s="53"/>
      <c r="R20" s="53"/>
      <c r="S20" s="53"/>
      <c r="T20" s="53"/>
      <c r="U20" s="32"/>
      <c r="V20" s="32"/>
      <c r="W20" s="53"/>
      <c r="Y20" s="129" t="s">
        <v>829</v>
      </c>
      <c r="Z20" s="129">
        <f>SUMIF(L:L,"P.N.050",N:N)</f>
        <v>1502</v>
      </c>
      <c r="AA20" s="112">
        <f>SUMIF(O:O,"P.N.050",Q:Q)</f>
        <v>16</v>
      </c>
      <c r="AB20" s="112">
        <f>SUMIF(R:R,"P.N.050",T:T)</f>
        <v>0</v>
      </c>
      <c r="AC20" s="112">
        <f>SUMIF(U:U,"P.N.050",W:W)</f>
        <v>0</v>
      </c>
      <c r="AD20" s="112">
        <f>SUMIF(X:X,"P.N.050",Z:Z)</f>
        <v>0</v>
      </c>
      <c r="AE20" s="130">
        <f t="shared" ref="AE20" si="3">Z20+AA20+AB20+AC20+AD20</f>
        <v>1518</v>
      </c>
    </row>
    <row r="21" spans="2:31" s="112" customFormat="1" ht="65.25" hidden="1" customHeight="1" x14ac:dyDescent="0.25">
      <c r="B21" s="32" t="s">
        <v>460</v>
      </c>
      <c r="C21" s="32" t="s">
        <v>510</v>
      </c>
      <c r="D21" s="32" t="s">
        <v>168</v>
      </c>
      <c r="E21" s="131" t="s">
        <v>478</v>
      </c>
      <c r="F21" s="53" t="s">
        <v>464</v>
      </c>
      <c r="G21" s="53" t="s">
        <v>479</v>
      </c>
      <c r="H21" s="53" t="s">
        <v>466</v>
      </c>
      <c r="I21" s="53" t="s">
        <v>467</v>
      </c>
      <c r="J21" s="53" t="s">
        <v>468</v>
      </c>
      <c r="K21" s="53" t="s">
        <v>47</v>
      </c>
      <c r="L21" s="53" t="s">
        <v>788</v>
      </c>
      <c r="M21" s="53" t="s">
        <v>792</v>
      </c>
      <c r="N21" s="53">
        <v>6932</v>
      </c>
      <c r="O21" s="53"/>
      <c r="P21" s="53"/>
      <c r="Q21" s="53"/>
      <c r="R21" s="53"/>
      <c r="S21" s="53"/>
      <c r="T21" s="53"/>
      <c r="U21" s="32"/>
      <c r="V21" s="32"/>
      <c r="W21" s="53"/>
      <c r="Y21" s="129" t="s">
        <v>831</v>
      </c>
      <c r="Z21" s="129">
        <f>SUMIF(L:L,"P.N.051",N:N)</f>
        <v>0</v>
      </c>
      <c r="AA21" s="112">
        <f>SUMIF(O:O,"P.N.051",Q:Q)</f>
        <v>170</v>
      </c>
      <c r="AB21" s="112">
        <f>SUMIF(R:R,"P.N.051",T:T)</f>
        <v>1032</v>
      </c>
      <c r="AC21" s="112">
        <f>SUMIF(U:U,"P.N.051",W:W)</f>
        <v>0</v>
      </c>
      <c r="AD21" s="112">
        <f>SUMIF(X:X,"P.N.051",Z:Z)</f>
        <v>0</v>
      </c>
      <c r="AE21" s="130">
        <f t="shared" ref="AE21" si="4">Z21+AA21+AB21+AC21+AD21</f>
        <v>1202</v>
      </c>
    </row>
    <row r="22" spans="2:31" s="112" customFormat="1" ht="57.75" hidden="1" customHeight="1" x14ac:dyDescent="0.25">
      <c r="B22" s="32" t="s">
        <v>461</v>
      </c>
      <c r="C22" s="32" t="s">
        <v>527</v>
      </c>
      <c r="D22" s="32" t="s">
        <v>483</v>
      </c>
      <c r="E22" s="131" t="s">
        <v>481</v>
      </c>
      <c r="F22" s="53" t="s">
        <v>473</v>
      </c>
      <c r="G22" s="53" t="s">
        <v>482</v>
      </c>
      <c r="H22" s="53" t="s">
        <v>466</v>
      </c>
      <c r="I22" s="53" t="s">
        <v>475</v>
      </c>
      <c r="J22" s="53" t="s">
        <v>476</v>
      </c>
      <c r="K22" s="53" t="s">
        <v>477</v>
      </c>
      <c r="L22" s="53" t="s">
        <v>788</v>
      </c>
      <c r="M22" s="53" t="s">
        <v>789</v>
      </c>
      <c r="N22" s="53">
        <v>50411</v>
      </c>
      <c r="O22" s="53"/>
      <c r="P22" s="53"/>
      <c r="Q22" s="53"/>
      <c r="R22" s="53"/>
      <c r="S22" s="53"/>
      <c r="T22" s="53"/>
      <c r="U22" s="32"/>
      <c r="V22" s="32"/>
      <c r="W22" s="53"/>
      <c r="Y22" s="129" t="s">
        <v>833</v>
      </c>
      <c r="Z22" s="129">
        <f>SUMIF(L:L,"P.N.053",N:N)</f>
        <v>0</v>
      </c>
      <c r="AA22" s="112">
        <f>SUMIF(O:O,"P.N.053",Q:Q)</f>
        <v>1769</v>
      </c>
      <c r="AB22" s="112">
        <f>SUMIF(R:R,"P.N.053",T:T)</f>
        <v>170</v>
      </c>
      <c r="AC22" s="112">
        <f>SUMIF(U:U,"P.N.053",W:W)</f>
        <v>120</v>
      </c>
      <c r="AD22" s="112">
        <f>SUMIF(X:X,"P.N.053",Z:Z)</f>
        <v>0</v>
      </c>
      <c r="AE22" s="130">
        <f t="shared" ref="AE22" si="5">Z22+AA22+AB22+AC22+AD22</f>
        <v>2059</v>
      </c>
    </row>
    <row r="23" spans="2:31" s="112" customFormat="1" ht="77.25" customHeight="1" x14ac:dyDescent="0.25">
      <c r="B23" s="68" t="s">
        <v>171</v>
      </c>
      <c r="C23" s="68" t="s">
        <v>528</v>
      </c>
      <c r="D23" s="68" t="s">
        <v>172</v>
      </c>
      <c r="E23" s="128" t="s">
        <v>481</v>
      </c>
      <c r="F23" s="115" t="s">
        <v>473</v>
      </c>
      <c r="G23" s="115" t="s">
        <v>482</v>
      </c>
      <c r="H23" s="115" t="s">
        <v>466</v>
      </c>
      <c r="I23" s="115" t="s">
        <v>475</v>
      </c>
      <c r="J23" s="115" t="s">
        <v>476</v>
      </c>
      <c r="K23" s="115" t="s">
        <v>477</v>
      </c>
      <c r="L23" s="115" t="s">
        <v>788</v>
      </c>
      <c r="M23" s="115" t="s">
        <v>789</v>
      </c>
      <c r="N23" s="126">
        <v>7300</v>
      </c>
      <c r="O23" s="53"/>
      <c r="P23" s="53"/>
      <c r="Q23" s="53"/>
      <c r="R23" s="53"/>
      <c r="S23" s="53"/>
      <c r="T23" s="53"/>
      <c r="U23" s="32"/>
      <c r="V23" s="32"/>
      <c r="W23" s="53"/>
      <c r="Y23" s="129" t="s">
        <v>835</v>
      </c>
      <c r="Z23" s="129">
        <f>SUMIF(L:L,"P.N.054",N:N)</f>
        <v>0</v>
      </c>
      <c r="AA23" s="112">
        <f>SUMIF(O:O,"P.N.054",Q:Q)</f>
        <v>0</v>
      </c>
      <c r="AB23" s="112">
        <f>SUMIF(R:R,"P.N.054",T:T)</f>
        <v>652</v>
      </c>
      <c r="AC23" s="112">
        <f>SUMIF(U:U,"P.N.054",W:W)</f>
        <v>170</v>
      </c>
      <c r="AD23" s="112">
        <f>SUMIF(X:X,"P.N.054",Z:Z)</f>
        <v>27</v>
      </c>
      <c r="AE23" s="130">
        <f t="shared" ref="AE23" si="6">Z23+AA23+AB23+AC23+AD23</f>
        <v>849</v>
      </c>
    </row>
    <row r="24" spans="2:31" s="7" customFormat="1" ht="72" hidden="1" customHeight="1" x14ac:dyDescent="0.25">
      <c r="B24" s="20" t="s">
        <v>173</v>
      </c>
      <c r="C24" s="20" t="s">
        <v>537</v>
      </c>
      <c r="D24" s="20" t="s">
        <v>174</v>
      </c>
      <c r="E24" s="25" t="s">
        <v>478</v>
      </c>
      <c r="F24" s="45" t="s">
        <v>464</v>
      </c>
      <c r="G24" s="45" t="s">
        <v>479</v>
      </c>
      <c r="H24" s="45" t="s">
        <v>466</v>
      </c>
      <c r="I24" s="45" t="s">
        <v>467</v>
      </c>
      <c r="J24" s="45" t="s">
        <v>468</v>
      </c>
      <c r="K24" s="45" t="s">
        <v>47</v>
      </c>
      <c r="L24" s="45" t="s">
        <v>788</v>
      </c>
      <c r="M24" s="45" t="s">
        <v>792</v>
      </c>
      <c r="N24" s="45">
        <v>58618</v>
      </c>
      <c r="O24" s="45"/>
      <c r="P24" s="45"/>
      <c r="Q24" s="45"/>
      <c r="R24" s="45"/>
      <c r="S24" s="45"/>
      <c r="T24" s="45"/>
      <c r="U24" s="20"/>
      <c r="V24" s="20"/>
      <c r="W24" s="45"/>
      <c r="Y24" s="66" t="s">
        <v>851</v>
      </c>
      <c r="Z24" s="66">
        <f>SUMIF(L:L,"P.N.092",N:N)</f>
        <v>4</v>
      </c>
      <c r="AA24" s="7">
        <f>SUMIF(O:O,"P.N.092",Q:Q)</f>
        <v>1</v>
      </c>
      <c r="AB24" s="7">
        <f>SUMIF(R:R,"P.N.092",T:T)</f>
        <v>0</v>
      </c>
      <c r="AC24" s="7">
        <f>SUMIF(U:U,"P.N.092",W:W)</f>
        <v>0</v>
      </c>
      <c r="AD24" s="7">
        <f>SUMIF(X:X,"P.N.092",Z:Z)</f>
        <v>0</v>
      </c>
      <c r="AE24" s="57">
        <f t="shared" ref="AE24" si="7">Z24+AA24+AB24+AC24+AD24</f>
        <v>5</v>
      </c>
    </row>
    <row r="25" spans="2:31" s="7" customFormat="1" ht="76.5" hidden="1" x14ac:dyDescent="0.25">
      <c r="B25" s="20" t="s">
        <v>175</v>
      </c>
      <c r="C25" s="20" t="s">
        <v>538</v>
      </c>
      <c r="D25" s="20" t="s">
        <v>176</v>
      </c>
      <c r="E25" s="25" t="s">
        <v>478</v>
      </c>
      <c r="F25" s="45" t="s">
        <v>464</v>
      </c>
      <c r="G25" s="45" t="s">
        <v>479</v>
      </c>
      <c r="H25" s="45" t="s">
        <v>466</v>
      </c>
      <c r="I25" s="45" t="s">
        <v>467</v>
      </c>
      <c r="J25" s="45" t="s">
        <v>468</v>
      </c>
      <c r="K25" s="45" t="s">
        <v>47</v>
      </c>
      <c r="L25" s="45" t="s">
        <v>788</v>
      </c>
      <c r="M25" s="45" t="s">
        <v>792</v>
      </c>
      <c r="N25" s="45">
        <v>5000</v>
      </c>
      <c r="O25" s="45"/>
      <c r="P25" s="45"/>
      <c r="Q25" s="45"/>
      <c r="R25" s="45"/>
      <c r="S25" s="45"/>
      <c r="T25" s="45"/>
      <c r="U25" s="20"/>
      <c r="V25" s="20"/>
      <c r="W25" s="45"/>
      <c r="Y25" s="66" t="s">
        <v>853</v>
      </c>
      <c r="Z25" s="66">
        <f>SUMIF(L:L,"P.N.093",N:N)</f>
        <v>128</v>
      </c>
      <c r="AA25" s="7">
        <f>SUMIF(O:O,"P.N.093",Q:Q)</f>
        <v>34</v>
      </c>
      <c r="AB25" s="7">
        <f>SUMIF(R:R,"P.N.093",T:T)</f>
        <v>0</v>
      </c>
      <c r="AC25" s="7">
        <f>SUMIF(U:U,"P.N.093",W:W)</f>
        <v>0</v>
      </c>
      <c r="AD25" s="7">
        <f>SUMIF(X:X,"P.N.093",Z:Z)</f>
        <v>8</v>
      </c>
      <c r="AE25" s="57">
        <f t="shared" ref="AE25" si="8">Z25+AA25+AB25+AC25+AD25</f>
        <v>170</v>
      </c>
    </row>
    <row r="26" spans="2:31" s="7" customFormat="1" ht="56.25" hidden="1" customHeight="1" x14ac:dyDescent="0.25">
      <c r="B26" s="20" t="s">
        <v>462</v>
      </c>
      <c r="C26" s="20" t="s">
        <v>539</v>
      </c>
      <c r="D26" s="20" t="s">
        <v>484</v>
      </c>
      <c r="E26" s="25" t="s">
        <v>481</v>
      </c>
      <c r="F26" s="45" t="s">
        <v>473</v>
      </c>
      <c r="G26" s="45" t="s">
        <v>482</v>
      </c>
      <c r="H26" s="45" t="s">
        <v>466</v>
      </c>
      <c r="I26" s="45" t="s">
        <v>475</v>
      </c>
      <c r="J26" s="45" t="s">
        <v>476</v>
      </c>
      <c r="K26" s="45" t="s">
        <v>477</v>
      </c>
      <c r="L26" s="45" t="s">
        <v>788</v>
      </c>
      <c r="M26" s="45" t="s">
        <v>789</v>
      </c>
      <c r="N26" s="45">
        <v>30657</v>
      </c>
      <c r="O26" s="45"/>
      <c r="P26" s="45"/>
      <c r="Q26" s="45"/>
      <c r="R26" s="45"/>
      <c r="S26" s="45"/>
      <c r="T26" s="45"/>
      <c r="U26" s="20"/>
      <c r="V26" s="20"/>
      <c r="W26" s="45"/>
      <c r="Y26" s="66" t="s">
        <v>892</v>
      </c>
      <c r="Z26" s="66">
        <f>SUMIF(L:L,"P.N.304",N:N)</f>
        <v>6</v>
      </c>
      <c r="AA26" s="7">
        <f>SUMIF(O:O,"P.N.304",Q:Q)</f>
        <v>0</v>
      </c>
      <c r="AB26" s="7">
        <f>SUMIF(R:R,"P.N.304",T:T)</f>
        <v>0</v>
      </c>
      <c r="AC26" s="7">
        <f>SUMIF(U:U,"P.N.304",W:W)</f>
        <v>0</v>
      </c>
      <c r="AD26" s="7">
        <f>SUMIF(X:X,"P.N.304",Z:Z)</f>
        <v>0</v>
      </c>
      <c r="AE26" s="57">
        <f t="shared" ref="AE26" si="9">Z26+AA26+AB26+AC26+AD26</f>
        <v>6</v>
      </c>
    </row>
    <row r="27" spans="2:31" ht="51" hidden="1" x14ac:dyDescent="0.25">
      <c r="B27" s="30" t="s">
        <v>52</v>
      </c>
      <c r="C27" s="30"/>
      <c r="D27" s="30" t="s">
        <v>511</v>
      </c>
      <c r="E27" s="30"/>
      <c r="F27" s="30"/>
      <c r="G27" s="30"/>
      <c r="H27" s="30"/>
      <c r="I27" s="30"/>
      <c r="J27" s="30"/>
      <c r="K27" s="30"/>
      <c r="L27" s="30"/>
      <c r="M27" s="30"/>
      <c r="N27" s="30"/>
      <c r="O27" s="30"/>
      <c r="P27" s="30"/>
      <c r="Q27" s="30"/>
      <c r="R27" s="30"/>
      <c r="S27" s="30"/>
      <c r="T27" s="30"/>
      <c r="U27" s="30"/>
      <c r="V27" s="30"/>
      <c r="W27" s="30"/>
      <c r="Y27" s="66" t="s">
        <v>886</v>
      </c>
      <c r="Z27" s="66">
        <f>SUMIF(L:L,"P.N.403",N:N)</f>
        <v>0</v>
      </c>
      <c r="AA27" s="7">
        <f>SUMIF(O:O,"P.N.403",Q:Q)</f>
        <v>136</v>
      </c>
      <c r="AB27" s="7">
        <f>SUMIF(R:R,"P.N.403",T:T)</f>
        <v>0</v>
      </c>
      <c r="AC27" s="7">
        <f>SUMIF(U:U,"P.N.403",W:W)</f>
        <v>0</v>
      </c>
      <c r="AD27" s="7">
        <f>SUMIF(X:X,"P.N.403",Z:Z)</f>
        <v>0</v>
      </c>
      <c r="AE27" s="57">
        <f t="shared" ref="AE27" si="10">Z27+AA27+AB27+AC27+AD27</f>
        <v>136</v>
      </c>
    </row>
    <row r="28" spans="2:31" ht="58.5" hidden="1" customHeight="1" x14ac:dyDescent="0.25">
      <c r="B28" s="20" t="s">
        <v>53</v>
      </c>
      <c r="C28" s="20" t="s">
        <v>540</v>
      </c>
      <c r="D28" s="20" t="s">
        <v>180</v>
      </c>
      <c r="E28" s="20" t="s">
        <v>512</v>
      </c>
      <c r="F28" s="20" t="s">
        <v>464</v>
      </c>
      <c r="G28" s="20" t="s">
        <v>513</v>
      </c>
      <c r="H28" s="20" t="s">
        <v>514</v>
      </c>
      <c r="I28" s="20" t="s">
        <v>467</v>
      </c>
      <c r="J28" s="20" t="s">
        <v>468</v>
      </c>
      <c r="K28" s="20" t="s">
        <v>47</v>
      </c>
      <c r="L28" s="45" t="s">
        <v>788</v>
      </c>
      <c r="M28" s="45" t="s">
        <v>793</v>
      </c>
      <c r="N28" s="45">
        <v>4873</v>
      </c>
      <c r="O28" s="45"/>
      <c r="P28" s="45"/>
      <c r="Q28" s="45"/>
      <c r="R28" s="20"/>
      <c r="S28" s="45"/>
      <c r="T28" s="20"/>
      <c r="U28" s="20"/>
      <c r="V28" s="20"/>
      <c r="W28" s="45"/>
      <c r="Y28" s="66" t="s">
        <v>815</v>
      </c>
      <c r="Z28" s="66">
        <f>SUMIF(L:L,"P.N.507",N:N)</f>
        <v>3</v>
      </c>
      <c r="AA28" s="7">
        <f>SUMIF(O:O,"P.N.507",Q:Q)</f>
        <v>0</v>
      </c>
      <c r="AB28" s="7">
        <f>SUMIF(R:R,"P.N.507",T:T)</f>
        <v>0</v>
      </c>
      <c r="AC28" s="7">
        <f>SUMIF(U:U,"P.N.507",W:W)</f>
        <v>0</v>
      </c>
      <c r="AD28" s="7">
        <f>SUMIF(X:X,"P.N.507",Z:Z)</f>
        <v>0</v>
      </c>
      <c r="AE28" s="57">
        <f t="shared" ref="AE28" si="11">Z28+AA28+AB28+AC28+AD28</f>
        <v>3</v>
      </c>
    </row>
    <row r="29" spans="2:31" ht="128.25" hidden="1" customHeight="1" x14ac:dyDescent="0.25">
      <c r="B29" s="20" t="s">
        <v>54</v>
      </c>
      <c r="C29" s="20" t="s">
        <v>542</v>
      </c>
      <c r="D29" s="20" t="s">
        <v>181</v>
      </c>
      <c r="E29" s="20" t="s">
        <v>515</v>
      </c>
      <c r="F29" s="20" t="s">
        <v>464</v>
      </c>
      <c r="G29" s="20" t="s">
        <v>516</v>
      </c>
      <c r="H29" s="20" t="s">
        <v>517</v>
      </c>
      <c r="I29" s="20" t="s">
        <v>518</v>
      </c>
      <c r="J29" s="20" t="s">
        <v>468</v>
      </c>
      <c r="K29" s="20" t="s">
        <v>47</v>
      </c>
      <c r="L29" s="45" t="s">
        <v>788</v>
      </c>
      <c r="M29" s="45" t="s">
        <v>793</v>
      </c>
      <c r="N29" s="45">
        <v>89245</v>
      </c>
      <c r="O29" s="45" t="s">
        <v>790</v>
      </c>
      <c r="P29" s="45" t="s">
        <v>794</v>
      </c>
      <c r="Q29" s="45">
        <v>800</v>
      </c>
      <c r="R29" s="20"/>
      <c r="S29" s="45"/>
      <c r="T29" s="20"/>
      <c r="U29" s="20"/>
      <c r="V29" s="20"/>
      <c r="W29" s="45"/>
      <c r="Y29" s="66" t="s">
        <v>799</v>
      </c>
      <c r="Z29" s="66">
        <f>SUMIF(L:L,"P.N.508",N:N)</f>
        <v>0.35</v>
      </c>
      <c r="AA29" s="7">
        <f>SUMIF(O:O,"P.N.508",Q:Q)</f>
        <v>0</v>
      </c>
      <c r="AB29" s="7">
        <f>SUMIF(R:R,"P.N.508",T:T)</f>
        <v>0.23599999999999999</v>
      </c>
      <c r="AC29" s="7">
        <f>SUMIF(U:U,"P.N.508",W:W)</f>
        <v>0</v>
      </c>
      <c r="AD29" s="7">
        <f>SUMIF(X:X,"P.N.508",Z:Z)</f>
        <v>0</v>
      </c>
      <c r="AE29" s="57">
        <f t="shared" ref="AE29" si="12">Z29+AA29+AB29+AC29+AD29</f>
        <v>0.58599999999999997</v>
      </c>
    </row>
    <row r="30" spans="2:31" s="7" customFormat="1" ht="57.75" hidden="1" customHeight="1" x14ac:dyDescent="0.25">
      <c r="B30" s="20" t="s">
        <v>182</v>
      </c>
      <c r="C30" s="20" t="s">
        <v>541</v>
      </c>
      <c r="D30" s="20" t="s">
        <v>183</v>
      </c>
      <c r="E30" s="20" t="s">
        <v>519</v>
      </c>
      <c r="F30" s="20" t="s">
        <v>464</v>
      </c>
      <c r="G30" s="20" t="s">
        <v>520</v>
      </c>
      <c r="H30" s="20" t="s">
        <v>517</v>
      </c>
      <c r="I30" s="20" t="s">
        <v>518</v>
      </c>
      <c r="J30" s="20" t="s">
        <v>468</v>
      </c>
      <c r="K30" s="20" t="s">
        <v>47</v>
      </c>
      <c r="L30" s="45" t="s">
        <v>788</v>
      </c>
      <c r="M30" s="45" t="s">
        <v>792</v>
      </c>
      <c r="N30" s="45">
        <v>55471</v>
      </c>
      <c r="O30" s="45"/>
      <c r="P30" s="45"/>
      <c r="Q30" s="45"/>
      <c r="R30" s="20"/>
      <c r="S30" s="45"/>
      <c r="T30" s="20"/>
      <c r="U30" s="20"/>
      <c r="V30" s="20"/>
      <c r="W30" s="45"/>
      <c r="Y30" s="66" t="s">
        <v>877</v>
      </c>
      <c r="Z30" s="66">
        <f>SUMIF(L:L,"P.N.671",N:N)</f>
        <v>0</v>
      </c>
      <c r="AA30" s="7">
        <f>SUMIF(O:O,"P.N.671",Q:Q)</f>
        <v>1</v>
      </c>
      <c r="AB30" s="7">
        <f>SUMIF(R:R,"P.N.671",T:T)</f>
        <v>0</v>
      </c>
      <c r="AC30" s="7">
        <f>SUMIF(U:U,"P.N.671",W:W)</f>
        <v>0</v>
      </c>
      <c r="AD30" s="7">
        <f>SUMIF(X:X,"P.N.671",Z:Z)</f>
        <v>0</v>
      </c>
      <c r="AE30" s="57">
        <f t="shared" ref="AE30" si="13">Z30+AA30+AB30+AC30+AD30</f>
        <v>1</v>
      </c>
    </row>
    <row r="31" spans="2:31" s="7" customFormat="1" ht="149.25" hidden="1" customHeight="1" x14ac:dyDescent="0.25">
      <c r="B31" s="13" t="s">
        <v>19</v>
      </c>
      <c r="C31" s="28"/>
      <c r="D31" s="28" t="s">
        <v>184</v>
      </c>
      <c r="E31" s="28"/>
      <c r="F31" s="13"/>
      <c r="G31" s="28"/>
      <c r="H31" s="28"/>
      <c r="I31" s="28"/>
      <c r="J31" s="13"/>
      <c r="K31" s="28"/>
      <c r="L31" s="28"/>
      <c r="M31" s="28"/>
      <c r="N31" s="13"/>
      <c r="O31" s="28"/>
      <c r="P31" s="28"/>
      <c r="Q31" s="28"/>
      <c r="R31" s="13"/>
      <c r="S31" s="28"/>
      <c r="T31" s="28"/>
      <c r="U31" s="28"/>
      <c r="V31" s="13"/>
      <c r="W31" s="28"/>
      <c r="Y31" s="66" t="s">
        <v>863</v>
      </c>
      <c r="Z31" s="66">
        <f>SUMIF(L:L,"P.N.717",N:N)</f>
        <v>2</v>
      </c>
      <c r="AA31" s="7">
        <f>SUMIF(O:O,"P.N.717",Q:Q)</f>
        <v>0</v>
      </c>
      <c r="AB31" s="7">
        <f>SUMIF(R:R,"P.N.717",T:T)</f>
        <v>0</v>
      </c>
      <c r="AC31" s="7">
        <f>SUMIF(U:U,"P.N.717",W:W)</f>
        <v>0</v>
      </c>
      <c r="AD31" s="7">
        <f>SUMIF(X:X,"P.N.717",Z:Z)</f>
        <v>0</v>
      </c>
      <c r="AE31" s="57">
        <f t="shared" ref="AE31" si="14">Z31+AA31+AB31+AC31+AD31</f>
        <v>2</v>
      </c>
    </row>
    <row r="32" spans="2:31" s="7" customFormat="1" ht="51" hidden="1" x14ac:dyDescent="0.25">
      <c r="B32" s="30" t="s">
        <v>546</v>
      </c>
      <c r="C32" s="30"/>
      <c r="D32" s="30" t="s">
        <v>185</v>
      </c>
      <c r="E32" s="30"/>
      <c r="F32" s="30"/>
      <c r="G32" s="30"/>
      <c r="H32" s="30"/>
      <c r="I32" s="30"/>
      <c r="J32" s="30"/>
      <c r="K32" s="30"/>
      <c r="L32" s="30"/>
      <c r="M32" s="30"/>
      <c r="N32" s="30"/>
      <c r="O32" s="30"/>
      <c r="P32" s="30"/>
      <c r="Q32" s="30"/>
      <c r="R32" s="30"/>
      <c r="S32" s="30"/>
      <c r="T32" s="30"/>
      <c r="U32" s="30"/>
      <c r="V32" s="30"/>
      <c r="W32" s="30"/>
      <c r="Y32" s="66" t="s">
        <v>869</v>
      </c>
      <c r="Z32" s="66">
        <f>SUMIF(L:L,"P.N.722",N:N)</f>
        <v>3</v>
      </c>
      <c r="AA32" s="7">
        <f>SUMIF(O:O,"P.N.722",Q:Q)</f>
        <v>0</v>
      </c>
      <c r="AB32" s="7">
        <f>SUMIF(R:R,"P.N.722",T:T)</f>
        <v>0</v>
      </c>
      <c r="AC32" s="7">
        <f>SUMIF(U:U,"P.N.722",W:W)</f>
        <v>0</v>
      </c>
      <c r="AD32" s="7">
        <f>SUMIF(X:X,"P.N.722",Z:Z)</f>
        <v>0</v>
      </c>
      <c r="AE32" s="57">
        <f t="shared" ref="AE32" si="15">Z32+AA32+AB32+AC32+AD32</f>
        <v>3</v>
      </c>
    </row>
    <row r="33" spans="2:31" s="7" customFormat="1" ht="165.75" hidden="1" x14ac:dyDescent="0.25">
      <c r="B33" s="20" t="s">
        <v>186</v>
      </c>
      <c r="C33" s="20" t="s">
        <v>563</v>
      </c>
      <c r="D33" s="20" t="s">
        <v>187</v>
      </c>
      <c r="E33" s="20" t="s">
        <v>512</v>
      </c>
      <c r="F33" s="20" t="s">
        <v>464</v>
      </c>
      <c r="G33" s="20" t="s">
        <v>543</v>
      </c>
      <c r="H33" s="20" t="s">
        <v>544</v>
      </c>
      <c r="I33" s="20" t="s">
        <v>467</v>
      </c>
      <c r="J33" s="20"/>
      <c r="K33" s="20" t="s">
        <v>47</v>
      </c>
      <c r="L33" s="45" t="s">
        <v>795</v>
      </c>
      <c r="M33" s="45" t="s">
        <v>796</v>
      </c>
      <c r="N33" s="45">
        <v>34500</v>
      </c>
      <c r="O33" s="45" t="s">
        <v>797</v>
      </c>
      <c r="P33" s="45" t="s">
        <v>798</v>
      </c>
      <c r="Q33" s="45">
        <v>58</v>
      </c>
      <c r="R33" s="45"/>
      <c r="S33" s="45"/>
      <c r="T33" s="45"/>
      <c r="U33" s="45"/>
      <c r="V33" s="45"/>
      <c r="W33" s="45"/>
      <c r="Y33" s="66" t="s">
        <v>871</v>
      </c>
      <c r="Z33" s="66">
        <f>SUMIF(L:L,"P.N.723",N:N)</f>
        <v>2</v>
      </c>
      <c r="AA33" s="7">
        <f>SUMIF(O:O,"P.N.723",Q:Q)</f>
        <v>0</v>
      </c>
      <c r="AB33" s="7">
        <f>SUMIF(R:R,"P.N.723",T:T)</f>
        <v>0</v>
      </c>
      <c r="AC33" s="7">
        <f>SUMIF(U:U,"P.N.723",W:W)</f>
        <v>0</v>
      </c>
      <c r="AD33" s="7">
        <f>SUMIF(X:X,"P.N.723",Z:Z)</f>
        <v>0</v>
      </c>
      <c r="AE33" s="57">
        <f t="shared" ref="AE33" si="16">Z33+AA33+AB33+AC33+AD33</f>
        <v>2</v>
      </c>
    </row>
    <row r="34" spans="2:31" s="7" customFormat="1" ht="153" hidden="1" x14ac:dyDescent="0.25">
      <c r="B34" s="13" t="s">
        <v>188</v>
      </c>
      <c r="C34" s="28"/>
      <c r="D34" s="28" t="s">
        <v>189</v>
      </c>
      <c r="E34" s="28"/>
      <c r="F34" s="13"/>
      <c r="G34" s="28"/>
      <c r="H34" s="28"/>
      <c r="I34" s="28"/>
      <c r="J34" s="13"/>
      <c r="K34" s="28"/>
      <c r="L34" s="48"/>
      <c r="M34" s="48"/>
      <c r="N34" s="49"/>
      <c r="O34" s="48"/>
      <c r="P34" s="48"/>
      <c r="Q34" s="48"/>
      <c r="R34" s="49"/>
      <c r="S34" s="48"/>
      <c r="T34" s="48"/>
      <c r="U34" s="48"/>
      <c r="V34" s="49"/>
      <c r="W34" s="48"/>
      <c r="Y34" s="66" t="s">
        <v>825</v>
      </c>
      <c r="Z34" s="66">
        <f>SUMIF(L:L,"P.N.817",N:N)</f>
        <v>86</v>
      </c>
      <c r="AA34" s="7">
        <f>SUMIF(O:O,"P.N.817",Q:Q)</f>
        <v>0</v>
      </c>
      <c r="AB34" s="7">
        <f>SUMIF(R:R,"P.N.817",T:T)</f>
        <v>0</v>
      </c>
      <c r="AC34" s="7">
        <f>SUMIF(U:U,"P.N.817",W:W)</f>
        <v>0</v>
      </c>
      <c r="AD34" s="7">
        <f>SUMIF(X:X,"P.N.817",Z:Z)</f>
        <v>0</v>
      </c>
      <c r="AE34" s="57">
        <f t="shared" ref="AE34" si="17">Z34+AA34+AB34+AC34+AD34</f>
        <v>86</v>
      </c>
    </row>
    <row r="35" spans="2:31" s="7" customFormat="1" ht="76.5" hidden="1" x14ac:dyDescent="0.25">
      <c r="B35" s="30" t="s">
        <v>190</v>
      </c>
      <c r="C35" s="30"/>
      <c r="D35" s="30" t="s">
        <v>191</v>
      </c>
      <c r="E35" s="30"/>
      <c r="F35" s="30"/>
      <c r="G35" s="30"/>
      <c r="H35" s="30"/>
      <c r="I35" s="30"/>
      <c r="J35" s="30"/>
      <c r="K35" s="30"/>
      <c r="L35" s="50"/>
      <c r="M35" s="50"/>
      <c r="N35" s="50"/>
      <c r="O35" s="50"/>
      <c r="P35" s="50"/>
      <c r="Q35" s="50"/>
      <c r="R35" s="50"/>
      <c r="S35" s="50"/>
      <c r="T35" s="50"/>
      <c r="U35" s="50"/>
      <c r="V35" s="50"/>
      <c r="W35" s="50"/>
      <c r="Y35" s="66" t="s">
        <v>898</v>
      </c>
      <c r="Z35" s="66">
        <f>SUMIF(L:L,"P.N.910",N:N)</f>
        <v>0</v>
      </c>
      <c r="AA35" s="7">
        <f>SUMIF(O:O,"P.N.910",Q:Q)</f>
        <v>0</v>
      </c>
      <c r="AB35" s="7">
        <f>SUMIF(R:R,"P.N.910",T:T)</f>
        <v>5</v>
      </c>
      <c r="AC35" s="7">
        <f>SUMIF(U:U,"P.N.910",W:W)</f>
        <v>0</v>
      </c>
      <c r="AD35" s="7">
        <f>SUMIF(X:X,"P.N.910",Z:Z)</f>
        <v>0</v>
      </c>
      <c r="AE35" s="57">
        <f t="shared" ref="AE35" si="18">Z35+AA35+AB35+AC35+AD35</f>
        <v>5</v>
      </c>
    </row>
    <row r="36" spans="2:31" s="7" customFormat="1" ht="78.75" hidden="1" customHeight="1" x14ac:dyDescent="0.25">
      <c r="B36" s="30" t="s">
        <v>192</v>
      </c>
      <c r="C36" s="30"/>
      <c r="D36" s="30" t="s">
        <v>193</v>
      </c>
      <c r="E36" s="30"/>
      <c r="F36" s="30"/>
      <c r="G36" s="30"/>
      <c r="H36" s="30"/>
      <c r="I36" s="30"/>
      <c r="J36" s="30"/>
      <c r="K36" s="30"/>
      <c r="L36" s="50"/>
      <c r="M36" s="50"/>
      <c r="N36" s="50"/>
      <c r="O36" s="50"/>
      <c r="P36" s="50"/>
      <c r="Q36" s="50"/>
      <c r="R36" s="50"/>
      <c r="S36" s="50"/>
      <c r="T36" s="50"/>
      <c r="U36" s="50"/>
      <c r="V36" s="50"/>
      <c r="W36" s="50"/>
      <c r="Y36" s="66" t="s">
        <v>942</v>
      </c>
      <c r="Z36" s="66">
        <f>SUMIF(L:L,"P.N.915",N:N)</f>
        <v>0</v>
      </c>
      <c r="AA36" s="7">
        <f>SUMIF(O:O,"P.N.915",Q:Q)</f>
        <v>0</v>
      </c>
      <c r="AB36" s="7">
        <f>SUMIF(R:R,"P.N.915",T:T)</f>
        <v>0</v>
      </c>
      <c r="AC36" s="7">
        <f>SUMIF(U:U,"P.N.915",W:W)</f>
        <v>0</v>
      </c>
      <c r="AD36" s="7">
        <f>SUMIF(X:X,"P.N.915",Z:Z)</f>
        <v>0</v>
      </c>
      <c r="AE36" s="57">
        <f t="shared" ref="AE36" si="19">Z36+AA36+AB36+AC36+AD36</f>
        <v>0</v>
      </c>
    </row>
    <row r="37" spans="2:31" s="7" customFormat="1" ht="63.75" hidden="1" x14ac:dyDescent="0.25">
      <c r="B37" s="33" t="s">
        <v>21</v>
      </c>
      <c r="C37" s="44"/>
      <c r="D37" s="33" t="s">
        <v>194</v>
      </c>
      <c r="E37" s="33"/>
      <c r="F37" s="33"/>
      <c r="G37" s="44"/>
      <c r="H37" s="33"/>
      <c r="I37" s="33"/>
      <c r="J37" s="33"/>
      <c r="K37" s="44"/>
      <c r="L37" s="51"/>
      <c r="M37" s="51"/>
      <c r="N37" s="51"/>
      <c r="O37" s="52"/>
      <c r="P37" s="51"/>
      <c r="Q37" s="51"/>
      <c r="R37" s="51"/>
      <c r="S37" s="52"/>
      <c r="T37" s="51"/>
      <c r="U37" s="51"/>
      <c r="V37" s="51"/>
      <c r="W37" s="52"/>
      <c r="Y37" s="66" t="s">
        <v>807</v>
      </c>
      <c r="Z37" s="66">
        <f>SUMIF(L:L,"P.S.321",N:N)</f>
        <v>1.56</v>
      </c>
      <c r="AA37" s="7">
        <f>SUMIF(O:O,"P.S.321",Q:Q)</f>
        <v>0</v>
      </c>
      <c r="AB37" s="7">
        <f>SUMIF(R:R,"P.S.321",T:T)</f>
        <v>0</v>
      </c>
      <c r="AC37" s="7">
        <f>SUMIF(U:U,"P.S.321",W:W)</f>
        <v>0</v>
      </c>
      <c r="AD37" s="7">
        <f>SUMIF(X:X,"P.S.321",Z:Z)</f>
        <v>0</v>
      </c>
      <c r="AE37" s="57">
        <f t="shared" ref="AE37" si="20">Z37+AA37+AB37+AC37+AD37</f>
        <v>1.56</v>
      </c>
    </row>
    <row r="38" spans="2:31" s="7" customFormat="1" ht="63.75" hidden="1" x14ac:dyDescent="0.25">
      <c r="B38" s="13" t="s">
        <v>22</v>
      </c>
      <c r="C38" s="28"/>
      <c r="D38" s="28" t="s">
        <v>195</v>
      </c>
      <c r="E38" s="28"/>
      <c r="F38" s="13"/>
      <c r="G38" s="28"/>
      <c r="H38" s="28"/>
      <c r="I38" s="28"/>
      <c r="J38" s="13"/>
      <c r="K38" s="28"/>
      <c r="L38" s="48"/>
      <c r="M38" s="48"/>
      <c r="N38" s="49"/>
      <c r="O38" s="48"/>
      <c r="P38" s="48"/>
      <c r="Q38" s="48"/>
      <c r="R38" s="49"/>
      <c r="S38" s="48"/>
      <c r="T38" s="48"/>
      <c r="U38" s="48"/>
      <c r="V38" s="49"/>
      <c r="W38" s="48"/>
      <c r="Y38" s="66" t="s">
        <v>810</v>
      </c>
      <c r="Z38" s="66">
        <f>SUMIF(L:L,"P.S.322",N:N)</f>
        <v>0.8</v>
      </c>
      <c r="AA38" s="7">
        <f>SUMIF(O:O,"P.S.322",Q:Q)</f>
        <v>0.8</v>
      </c>
      <c r="AB38" s="7">
        <f>SUMIF(R:R,"P.S.322",T:T)</f>
        <v>0</v>
      </c>
      <c r="AC38" s="7">
        <f>SUMIF(U:U,"P.S.322",W:W)</f>
        <v>0</v>
      </c>
      <c r="AD38" s="7">
        <f>SUMIF(X:X,"P.S.322",Z:Z)</f>
        <v>0</v>
      </c>
      <c r="AE38" s="57">
        <f t="shared" ref="AE38" si="21">Z38+AA38+AB38+AC38+AD38</f>
        <v>1.6</v>
      </c>
    </row>
    <row r="39" spans="2:31" s="7" customFormat="1" ht="25.5" hidden="1" x14ac:dyDescent="0.25">
      <c r="B39" s="30" t="s">
        <v>196</v>
      </c>
      <c r="C39" s="30"/>
      <c r="D39" s="30" t="s">
        <v>547</v>
      </c>
      <c r="E39" s="30"/>
      <c r="F39" s="30"/>
      <c r="G39" s="30"/>
      <c r="H39" s="30"/>
      <c r="I39" s="30"/>
      <c r="J39" s="30"/>
      <c r="K39" s="30"/>
      <c r="L39" s="50"/>
      <c r="M39" s="50"/>
      <c r="N39" s="50"/>
      <c r="O39" s="50"/>
      <c r="P39" s="50"/>
      <c r="Q39" s="50"/>
      <c r="R39" s="50"/>
      <c r="S39" s="50"/>
      <c r="T39" s="50"/>
      <c r="U39" s="50"/>
      <c r="V39" s="50"/>
      <c r="W39" s="50"/>
      <c r="Y39" s="66" t="s">
        <v>813</v>
      </c>
      <c r="Z39" s="66">
        <f>SUMIF(L:L,"P.S.323",N:N)</f>
        <v>3</v>
      </c>
      <c r="AA39" s="7">
        <f>SUMIF(O:O,"P.S.323",Q:Q)</f>
        <v>0</v>
      </c>
      <c r="AB39" s="7">
        <f>SUMIF(R:R,"P.S.323",T:T)</f>
        <v>0</v>
      </c>
      <c r="AC39" s="7">
        <f>SUMIF(U:U,"P.S.323",W:W)</f>
        <v>0</v>
      </c>
      <c r="AD39" s="7">
        <f>SUMIF(X:X,"P.S.323",Z:Z)</f>
        <v>0</v>
      </c>
      <c r="AE39" s="57">
        <f t="shared" ref="AE39" si="22">Z39+AA39+AB39+AC39+AD39</f>
        <v>3</v>
      </c>
    </row>
    <row r="40" spans="2:31" s="7" customFormat="1" ht="79.5" hidden="1" customHeight="1" x14ac:dyDescent="0.25">
      <c r="B40" s="20" t="s">
        <v>198</v>
      </c>
      <c r="C40" s="20" t="s">
        <v>562</v>
      </c>
      <c r="D40" s="20" t="s">
        <v>199</v>
      </c>
      <c r="E40" s="20" t="s">
        <v>512</v>
      </c>
      <c r="F40" s="20" t="s">
        <v>548</v>
      </c>
      <c r="G40" s="20" t="s">
        <v>513</v>
      </c>
      <c r="H40" s="20" t="s">
        <v>549</v>
      </c>
      <c r="I40" s="20" t="s">
        <v>467</v>
      </c>
      <c r="J40" s="20" t="s">
        <v>468</v>
      </c>
      <c r="K40" s="20" t="s">
        <v>47</v>
      </c>
      <c r="L40" s="45" t="s">
        <v>799</v>
      </c>
      <c r="M40" s="45" t="s">
        <v>800</v>
      </c>
      <c r="N40" s="45">
        <v>0.35</v>
      </c>
      <c r="O40" s="45" t="s">
        <v>802</v>
      </c>
      <c r="P40" s="45" t="s">
        <v>803</v>
      </c>
      <c r="Q40" s="45">
        <v>1</v>
      </c>
      <c r="R40" s="45"/>
      <c r="S40" s="45"/>
      <c r="T40" s="45"/>
      <c r="U40" s="45"/>
      <c r="V40" s="45"/>
      <c r="W40" s="45"/>
      <c r="Y40" s="66" t="s">
        <v>817</v>
      </c>
      <c r="Z40" s="66">
        <f>SUMIF(L:L,"P.S.325",N:N)</f>
        <v>4</v>
      </c>
      <c r="AA40" s="7">
        <f>SUMIF(O:O,"P.S.325",Q:Q)</f>
        <v>0</v>
      </c>
      <c r="AB40" s="7">
        <f>SUMIF(R:R,"P.S.325",T:T)</f>
        <v>0</v>
      </c>
      <c r="AC40" s="7">
        <f>SUMIF(U:U,"P.S.325",W:W)</f>
        <v>0</v>
      </c>
      <c r="AD40" s="7">
        <f>SUMIF(X:X,"P.S.325",Z:Z)</f>
        <v>0</v>
      </c>
      <c r="AE40" s="57">
        <f t="shared" ref="AE40" si="23">Z40+AA40+AB40+AC40+AD40</f>
        <v>4</v>
      </c>
    </row>
    <row r="41" spans="2:31" s="7" customFormat="1" ht="76.5" hidden="1" customHeight="1" x14ac:dyDescent="0.25">
      <c r="B41" s="20" t="s">
        <v>200</v>
      </c>
      <c r="C41" s="20" t="s">
        <v>564</v>
      </c>
      <c r="D41" s="20" t="s">
        <v>201</v>
      </c>
      <c r="E41" s="20" t="s">
        <v>550</v>
      </c>
      <c r="F41" s="20" t="s">
        <v>548</v>
      </c>
      <c r="G41" s="20" t="s">
        <v>551</v>
      </c>
      <c r="H41" s="20" t="s">
        <v>549</v>
      </c>
      <c r="I41" s="20" t="s">
        <v>467</v>
      </c>
      <c r="J41" s="20" t="s">
        <v>468</v>
      </c>
      <c r="K41" s="20" t="s">
        <v>47</v>
      </c>
      <c r="L41" s="45" t="s">
        <v>804</v>
      </c>
      <c r="M41" s="45" t="s">
        <v>805</v>
      </c>
      <c r="N41" s="45">
        <v>0.125</v>
      </c>
      <c r="O41" s="45"/>
      <c r="P41" s="45"/>
      <c r="Q41" s="45"/>
      <c r="R41" s="45"/>
      <c r="S41" s="45"/>
      <c r="T41" s="45"/>
      <c r="U41" s="45"/>
      <c r="V41" s="45"/>
      <c r="W41" s="45"/>
      <c r="Y41" s="66" t="s">
        <v>841</v>
      </c>
      <c r="Z41" s="66">
        <f>SUMIF(L:L,"P.S.328",N:N)</f>
        <v>124.5</v>
      </c>
      <c r="AA41" s="7">
        <f>SUMIF(O:O,"P.S.328",Q:Q)</f>
        <v>0</v>
      </c>
      <c r="AB41" s="7">
        <f>SUMIF(R:R,"P.S.328",T:T)</f>
        <v>0</v>
      </c>
      <c r="AC41" s="7">
        <f>SUMIF(U:U,"P.S.328",W:W)</f>
        <v>0</v>
      </c>
      <c r="AD41" s="7">
        <f>SUMIF(X:X,"P.S.328",Z:Z)</f>
        <v>0</v>
      </c>
      <c r="AE41" s="57">
        <f t="shared" ref="AE41" si="24">Z41+AA41+AB41+AC41+AD41</f>
        <v>124.5</v>
      </c>
    </row>
    <row r="42" spans="2:31" s="7" customFormat="1" ht="114.75" hidden="1" x14ac:dyDescent="0.25">
      <c r="B42" s="20" t="s">
        <v>202</v>
      </c>
      <c r="C42" s="20" t="s">
        <v>565</v>
      </c>
      <c r="D42" s="20" t="s">
        <v>203</v>
      </c>
      <c r="E42" s="20" t="s">
        <v>463</v>
      </c>
      <c r="F42" s="20" t="s">
        <v>548</v>
      </c>
      <c r="G42" s="20" t="s">
        <v>470</v>
      </c>
      <c r="H42" s="20" t="s">
        <v>549</v>
      </c>
      <c r="I42" s="20" t="s">
        <v>467</v>
      </c>
      <c r="J42" s="20" t="s">
        <v>468</v>
      </c>
      <c r="K42" s="20" t="s">
        <v>47</v>
      </c>
      <c r="L42" s="45" t="s">
        <v>804</v>
      </c>
      <c r="M42" s="45" t="s">
        <v>805</v>
      </c>
      <c r="N42" s="45">
        <v>1.0089999999999999</v>
      </c>
      <c r="O42" s="45" t="s">
        <v>802</v>
      </c>
      <c r="P42" s="45" t="s">
        <v>803</v>
      </c>
      <c r="Q42" s="45">
        <v>1</v>
      </c>
      <c r="R42" s="53" t="s">
        <v>799</v>
      </c>
      <c r="S42" s="45" t="s">
        <v>800</v>
      </c>
      <c r="T42" s="45">
        <v>0.23599999999999999</v>
      </c>
      <c r="U42" s="104"/>
      <c r="V42" s="104"/>
      <c r="W42" s="104"/>
      <c r="Y42" s="66" t="s">
        <v>846</v>
      </c>
      <c r="Z42" s="66">
        <f>SUMIF(L:L,"P.S.329",N:N)</f>
        <v>6069</v>
      </c>
      <c r="AA42" s="7">
        <f>SUMIF(O:O,"P.S.329",Q:Q)</f>
        <v>0</v>
      </c>
      <c r="AB42" s="7">
        <f>SUMIF(R:R,"P.S.329",T:T)</f>
        <v>0</v>
      </c>
      <c r="AC42" s="7">
        <f>SUMIF(U:U,"P.S.329",W:W)</f>
        <v>0</v>
      </c>
      <c r="AD42" s="7">
        <f>SUMIF(X:X,"P.S.329",Z:Z)</f>
        <v>0</v>
      </c>
      <c r="AE42" s="57">
        <f t="shared" ref="AE42" si="25">Z42+AA42+AB42+AC42+AD42</f>
        <v>6069</v>
      </c>
    </row>
    <row r="43" spans="2:31" s="7" customFormat="1" ht="89.25" hidden="1" x14ac:dyDescent="0.25">
      <c r="B43" s="20" t="s">
        <v>204</v>
      </c>
      <c r="C43" s="20" t="s">
        <v>568</v>
      </c>
      <c r="D43" s="20" t="s">
        <v>205</v>
      </c>
      <c r="E43" s="20" t="s">
        <v>550</v>
      </c>
      <c r="F43" s="20" t="s">
        <v>548</v>
      </c>
      <c r="G43" s="20" t="s">
        <v>551</v>
      </c>
      <c r="H43" s="20" t="s">
        <v>549</v>
      </c>
      <c r="I43" s="20" t="s">
        <v>467</v>
      </c>
      <c r="J43" s="20" t="s">
        <v>468</v>
      </c>
      <c r="K43" s="20" t="s">
        <v>47</v>
      </c>
      <c r="L43" s="45" t="s">
        <v>804</v>
      </c>
      <c r="M43" s="45" t="s">
        <v>805</v>
      </c>
      <c r="N43" s="45">
        <v>1.23</v>
      </c>
      <c r="O43" s="45"/>
      <c r="P43" s="45"/>
      <c r="Q43" s="45"/>
      <c r="R43" s="45"/>
      <c r="S43" s="45"/>
      <c r="T43" s="45"/>
      <c r="U43" s="45"/>
      <c r="V43" s="45"/>
      <c r="W43" s="45"/>
      <c r="Y43" s="66" t="s">
        <v>827</v>
      </c>
      <c r="Z43" s="66">
        <f>SUMIF(L:L,"P.S.333",N:N)</f>
        <v>25.76</v>
      </c>
      <c r="AA43" s="7">
        <f>SUMIF(O:O,"P.S.333",Q:Q)</f>
        <v>0</v>
      </c>
      <c r="AB43" s="7">
        <f>SUMIF(R:R,"P.S.333",T:T)</f>
        <v>0</v>
      </c>
      <c r="AC43" s="7">
        <f>SUMIF(U:U,"P.S.333",W:W)</f>
        <v>2.81</v>
      </c>
      <c r="AD43" s="7">
        <f>SUMIF(X:X,"P.S.333",Z:Z)</f>
        <v>0</v>
      </c>
      <c r="AE43" s="57">
        <f t="shared" ref="AE43" si="26">Z43+AA43+AB43+AC43+AD43</f>
        <v>28.57</v>
      </c>
    </row>
    <row r="44" spans="2:31" s="7" customFormat="1" ht="63.75" hidden="1" x14ac:dyDescent="0.25">
      <c r="B44" s="20" t="s">
        <v>206</v>
      </c>
      <c r="C44" s="20" t="s">
        <v>566</v>
      </c>
      <c r="D44" s="20" t="s">
        <v>207</v>
      </c>
      <c r="E44" s="20" t="s">
        <v>478</v>
      </c>
      <c r="F44" s="20" t="s">
        <v>548</v>
      </c>
      <c r="G44" s="20" t="s">
        <v>479</v>
      </c>
      <c r="H44" s="20" t="s">
        <v>549</v>
      </c>
      <c r="I44" s="20" t="s">
        <v>467</v>
      </c>
      <c r="J44" s="20" t="s">
        <v>468</v>
      </c>
      <c r="K44" s="20" t="s">
        <v>47</v>
      </c>
      <c r="L44" s="45" t="s">
        <v>804</v>
      </c>
      <c r="M44" s="45" t="s">
        <v>805</v>
      </c>
      <c r="N44" s="45">
        <v>0.71</v>
      </c>
      <c r="O44" s="45" t="s">
        <v>802</v>
      </c>
      <c r="P44" s="45" t="s">
        <v>803</v>
      </c>
      <c r="Q44" s="45">
        <v>1</v>
      </c>
      <c r="R44" s="45"/>
      <c r="S44" s="45"/>
      <c r="T44" s="45"/>
      <c r="U44" s="45"/>
      <c r="V44" s="45"/>
      <c r="W44" s="45"/>
      <c r="Y44" s="66" t="s">
        <v>819</v>
      </c>
      <c r="Z44" s="66">
        <f>SUMIF(L:L,"P.S.335",N:N)</f>
        <v>4</v>
      </c>
      <c r="AA44" s="7">
        <f>SUMIF(O:O,"P.S.335",Q:Q)</f>
        <v>0</v>
      </c>
      <c r="AB44" s="7">
        <f>SUMIF(R:R,"P.S.335",T:T)</f>
        <v>0</v>
      </c>
      <c r="AC44" s="7">
        <f>SUMIF(U:U,"P.S.335",W:W)</f>
        <v>0</v>
      </c>
      <c r="AD44" s="7">
        <f>SUMIF(X:X,"P.S.335",Z:Z)</f>
        <v>0</v>
      </c>
      <c r="AE44" s="57">
        <f t="shared" ref="AE44" si="27">Z44+AA44+AB44+AC44+AD44</f>
        <v>4</v>
      </c>
    </row>
    <row r="45" spans="2:31" s="7" customFormat="1" ht="89.25" hidden="1" x14ac:dyDescent="0.25">
      <c r="B45" s="20" t="s">
        <v>208</v>
      </c>
      <c r="C45" s="20" t="s">
        <v>567</v>
      </c>
      <c r="D45" s="20" t="s">
        <v>552</v>
      </c>
      <c r="E45" s="20" t="s">
        <v>519</v>
      </c>
      <c r="F45" s="20" t="s">
        <v>548</v>
      </c>
      <c r="G45" s="20" t="s">
        <v>553</v>
      </c>
      <c r="H45" s="20" t="s">
        <v>549</v>
      </c>
      <c r="I45" s="20" t="s">
        <v>467</v>
      </c>
      <c r="J45" s="20" t="s">
        <v>468</v>
      </c>
      <c r="K45" s="20" t="s">
        <v>47</v>
      </c>
      <c r="L45" s="45" t="s">
        <v>804</v>
      </c>
      <c r="M45" s="45" t="s">
        <v>805</v>
      </c>
      <c r="N45" s="45">
        <v>0.8</v>
      </c>
      <c r="O45" s="45" t="s">
        <v>802</v>
      </c>
      <c r="P45" s="45" t="s">
        <v>803</v>
      </c>
      <c r="Q45" s="45">
        <v>1</v>
      </c>
      <c r="R45" s="45"/>
      <c r="S45" s="45"/>
      <c r="T45" s="45"/>
      <c r="U45" s="45"/>
      <c r="V45" s="45"/>
      <c r="W45" s="45"/>
      <c r="Y45" s="66" t="s">
        <v>857</v>
      </c>
      <c r="Z45" s="66">
        <f>SUMIF(L:L,"P.S.338",N:N)</f>
        <v>5</v>
      </c>
      <c r="AA45" s="7">
        <f>SUMIF(O:O,"P.S.338",Q:Q)</f>
        <v>1</v>
      </c>
      <c r="AB45" s="7">
        <f>SUMIF(R:R,"P.S.338",T:T)</f>
        <v>0</v>
      </c>
      <c r="AC45" s="7">
        <f>SUMIF(U:U,"P.S.338",W:W)</f>
        <v>0</v>
      </c>
      <c r="AD45" s="7">
        <f>SUMIF(X:X,"P.S.338",Z:Z)</f>
        <v>0</v>
      </c>
      <c r="AE45" s="57">
        <f t="shared" ref="AE45" si="28">Z45+AA45+AB45+AC45+AD45</f>
        <v>6</v>
      </c>
    </row>
    <row r="46" spans="2:31" s="7" customFormat="1" ht="63.75" hidden="1" x14ac:dyDescent="0.25">
      <c r="B46" s="20" t="s">
        <v>210</v>
      </c>
      <c r="C46" s="20" t="s">
        <v>569</v>
      </c>
      <c r="D46" s="20" t="s">
        <v>211</v>
      </c>
      <c r="E46" s="20" t="s">
        <v>515</v>
      </c>
      <c r="F46" s="20" t="s">
        <v>548</v>
      </c>
      <c r="G46" s="20" t="s">
        <v>555</v>
      </c>
      <c r="H46" s="20" t="s">
        <v>549</v>
      </c>
      <c r="I46" s="20" t="s">
        <v>467</v>
      </c>
      <c r="J46" s="20" t="s">
        <v>468</v>
      </c>
      <c r="K46" s="20" t="s">
        <v>47</v>
      </c>
      <c r="L46" s="45" t="s">
        <v>804</v>
      </c>
      <c r="M46" s="45" t="s">
        <v>806</v>
      </c>
      <c r="N46" s="45">
        <v>1.36</v>
      </c>
      <c r="O46" s="45"/>
      <c r="P46" s="45"/>
      <c r="Q46" s="45"/>
      <c r="R46" s="45"/>
      <c r="S46" s="45"/>
      <c r="T46" s="45"/>
      <c r="U46" s="45"/>
      <c r="V46" s="45"/>
      <c r="W46" s="45"/>
      <c r="Y46" s="58" t="s">
        <v>802</v>
      </c>
      <c r="Z46" s="66">
        <f>SUMIF(L:L,"P.S.342",N:N)</f>
        <v>0</v>
      </c>
      <c r="AA46" s="7">
        <f>SUMIF(O:O,"P.S.342",Q:Q)</f>
        <v>4</v>
      </c>
      <c r="AB46" s="7">
        <f>SUMIF(R:R,"P.S.342",T:T)</f>
        <v>0</v>
      </c>
      <c r="AC46" s="7">
        <f>SUMIF(U:U,"P.S.342",W:W)</f>
        <v>0</v>
      </c>
      <c r="AD46" s="7">
        <f>SUMIF(X:X,"P.S.342",Z:Z)</f>
        <v>0</v>
      </c>
      <c r="AE46" s="57">
        <f t="shared" ref="AE46" si="29">Z46+AA46+AB46+AC46+AD46</f>
        <v>4</v>
      </c>
    </row>
    <row r="47" spans="2:31" s="7" customFormat="1" ht="89.25" hidden="1" x14ac:dyDescent="0.25">
      <c r="B47" s="20" t="s">
        <v>212</v>
      </c>
      <c r="C47" s="20" t="s">
        <v>570</v>
      </c>
      <c r="D47" s="20" t="s">
        <v>213</v>
      </c>
      <c r="E47" s="20" t="s">
        <v>550</v>
      </c>
      <c r="F47" s="20" t="s">
        <v>548</v>
      </c>
      <c r="G47" s="20" t="s">
        <v>551</v>
      </c>
      <c r="H47" s="20" t="s">
        <v>549</v>
      </c>
      <c r="I47" s="20" t="s">
        <v>467</v>
      </c>
      <c r="J47" s="20" t="s">
        <v>468</v>
      </c>
      <c r="K47" s="20" t="s">
        <v>47</v>
      </c>
      <c r="L47" s="45" t="s">
        <v>804</v>
      </c>
      <c r="M47" s="45" t="s">
        <v>805</v>
      </c>
      <c r="N47" s="45">
        <v>0.13800000000000001</v>
      </c>
      <c r="O47" s="45"/>
      <c r="P47" s="45"/>
      <c r="Q47" s="45"/>
      <c r="R47" s="45"/>
      <c r="S47" s="45"/>
      <c r="T47" s="45"/>
      <c r="U47" s="45"/>
      <c r="V47" s="45"/>
      <c r="W47" s="45"/>
      <c r="Y47" s="66" t="s">
        <v>884</v>
      </c>
      <c r="Z47" s="66">
        <f>SUMIF(L:L,"P.S.361",N:N)</f>
        <v>4</v>
      </c>
      <c r="AA47" s="7">
        <f>SUMIF(O:O,"P.S.361",Q:Q)</f>
        <v>0</v>
      </c>
      <c r="AB47" s="7">
        <f>SUMIF(R:R,"P.S.361",T:T)</f>
        <v>0</v>
      </c>
      <c r="AC47" s="7">
        <f>SUMIF(U:U,"P.S.361",W:W)</f>
        <v>0</v>
      </c>
      <c r="AD47" s="7">
        <f>SUMIF(X:X,"P.S.361",Z:Z)</f>
        <v>0</v>
      </c>
      <c r="AE47" s="57">
        <f t="shared" ref="AE47" si="30">Z47+AA47+AB47+AC47+AD47</f>
        <v>4</v>
      </c>
    </row>
    <row r="48" spans="2:31" s="7" customFormat="1" ht="113.25" hidden="1" customHeight="1" x14ac:dyDescent="0.25">
      <c r="B48" s="13" t="s">
        <v>214</v>
      </c>
      <c r="C48" s="28"/>
      <c r="D48" s="28" t="s">
        <v>215</v>
      </c>
      <c r="E48" s="13"/>
      <c r="F48" s="28"/>
      <c r="G48" s="28"/>
      <c r="H48" s="13"/>
      <c r="I48" s="28"/>
      <c r="J48" s="28"/>
      <c r="K48" s="13"/>
      <c r="L48" s="48"/>
      <c r="M48" s="48"/>
      <c r="N48" s="49"/>
      <c r="O48" s="48"/>
      <c r="P48" s="48"/>
      <c r="Q48" s="49"/>
      <c r="R48" s="48"/>
      <c r="S48" s="48"/>
      <c r="T48" s="49"/>
      <c r="U48" s="48"/>
      <c r="V48" s="48"/>
      <c r="W48" s="49"/>
      <c r="Y48" s="66" t="s">
        <v>890</v>
      </c>
      <c r="Z48" s="66">
        <f>SUMIF(L:L,"P.S.362",N:N)</f>
        <v>95</v>
      </c>
      <c r="AA48" s="7">
        <f>SUMIF(O:O,"P.S.362",Q:Q)</f>
        <v>0</v>
      </c>
      <c r="AB48" s="7">
        <f>SUMIF(R:R,"P.S.362",T:T)</f>
        <v>0</v>
      </c>
      <c r="AC48" s="7">
        <f>SUMIF(U:U,"P.S.362",W:W)</f>
        <v>0</v>
      </c>
      <c r="AD48" s="7">
        <f>SUMIF(X:X,"P.S.362",Z:Z)</f>
        <v>0</v>
      </c>
      <c r="AE48" s="57">
        <f t="shared" ref="AE48" si="31">Z48+AA48+AB48+AC48+AD48</f>
        <v>95</v>
      </c>
    </row>
    <row r="49" spans="2:31" s="7" customFormat="1" ht="51" hidden="1" x14ac:dyDescent="0.25">
      <c r="B49" s="30" t="s">
        <v>216</v>
      </c>
      <c r="C49" s="30"/>
      <c r="D49" s="30" t="s">
        <v>217</v>
      </c>
      <c r="E49" s="30"/>
      <c r="F49" s="30"/>
      <c r="G49" s="30"/>
      <c r="H49" s="30"/>
      <c r="I49" s="30"/>
      <c r="J49" s="30"/>
      <c r="K49" s="30"/>
      <c r="L49" s="50"/>
      <c r="M49" s="50"/>
      <c r="N49" s="50"/>
      <c r="O49" s="50"/>
      <c r="P49" s="50"/>
      <c r="Q49" s="50"/>
      <c r="R49" s="50"/>
      <c r="S49" s="50"/>
      <c r="T49" s="50"/>
      <c r="U49" s="50"/>
      <c r="V49" s="50"/>
      <c r="W49" s="50"/>
      <c r="Y49" s="66" t="s">
        <v>795</v>
      </c>
      <c r="Z49" s="66">
        <f>SUMIF(L:L,"P.S.364",N:N)</f>
        <v>34500</v>
      </c>
      <c r="AA49" s="7">
        <f>SUMIF(O:O,"P.S.364",Q:Q)</f>
        <v>0</v>
      </c>
      <c r="AB49" s="7">
        <f>SUMIF(R:R,"P.S.364",T:T)</f>
        <v>0</v>
      </c>
      <c r="AC49" s="7">
        <f>SUMIF(U:U,"P.S.364",W:W)</f>
        <v>0</v>
      </c>
      <c r="AD49" s="7">
        <f>SUMIF(X:X,"P.S.364",Z:Z)</f>
        <v>0</v>
      </c>
      <c r="AE49" s="57">
        <f t="shared" ref="AE49" si="32">Z49+AA49+AB49+AC49+AD49</f>
        <v>34500</v>
      </c>
    </row>
    <row r="50" spans="2:31" s="7" customFormat="1" ht="114" hidden="1" customHeight="1" x14ac:dyDescent="0.25">
      <c r="B50" s="20" t="s">
        <v>218</v>
      </c>
      <c r="C50" s="20" t="s">
        <v>579</v>
      </c>
      <c r="D50" s="20" t="s">
        <v>571</v>
      </c>
      <c r="E50" s="20" t="s">
        <v>512</v>
      </c>
      <c r="F50" s="20" t="s">
        <v>548</v>
      </c>
      <c r="G50" s="20" t="s">
        <v>543</v>
      </c>
      <c r="H50" s="20" t="s">
        <v>575</v>
      </c>
      <c r="I50" s="20" t="s">
        <v>467</v>
      </c>
      <c r="J50" s="20" t="s">
        <v>468</v>
      </c>
      <c r="K50" s="20" t="s">
        <v>47</v>
      </c>
      <c r="L50" s="45" t="s">
        <v>807</v>
      </c>
      <c r="M50" s="45" t="s">
        <v>808</v>
      </c>
      <c r="N50" s="45">
        <v>0.88</v>
      </c>
      <c r="O50" s="45"/>
      <c r="P50" s="45"/>
      <c r="Q50" s="45"/>
      <c r="R50" s="45"/>
      <c r="S50" s="45"/>
      <c r="T50" s="45"/>
      <c r="U50" s="45"/>
      <c r="V50" s="45"/>
      <c r="W50" s="45"/>
      <c r="Y50" s="66" t="s">
        <v>797</v>
      </c>
      <c r="Z50" s="66">
        <f>SUMIF(L:L,"P.S.365",N:N)</f>
        <v>0</v>
      </c>
      <c r="AA50" s="7">
        <f>SUMIF(O:O,"P.S.365",Q:Q)</f>
        <v>58</v>
      </c>
      <c r="AB50" s="7">
        <f>SUMIF(R:R,"P.S.365",T:T)</f>
        <v>0</v>
      </c>
      <c r="AC50" s="7">
        <f>SUMIF(U:U,"P.S.365",W:W)</f>
        <v>0</v>
      </c>
      <c r="AD50" s="7">
        <f>SUMIF(X:X,"P.S.365",Z:Z)</f>
        <v>0</v>
      </c>
      <c r="AE50" s="57">
        <f t="shared" ref="AE50" si="33">Z50+AA50+AB50+AC50+AD50</f>
        <v>58</v>
      </c>
    </row>
    <row r="51" spans="2:31" s="7" customFormat="1" ht="107.25" hidden="1" customHeight="1" x14ac:dyDescent="0.25">
      <c r="B51" s="20" t="s">
        <v>220</v>
      </c>
      <c r="C51" s="20" t="s">
        <v>580</v>
      </c>
      <c r="D51" s="20" t="s">
        <v>221</v>
      </c>
      <c r="E51" s="20" t="s">
        <v>478</v>
      </c>
      <c r="F51" s="20" t="s">
        <v>548</v>
      </c>
      <c r="G51" s="20" t="s">
        <v>479</v>
      </c>
      <c r="H51" s="20" t="s">
        <v>575</v>
      </c>
      <c r="I51" s="20" t="s">
        <v>467</v>
      </c>
      <c r="J51" s="20" t="s">
        <v>468</v>
      </c>
      <c r="K51" s="20" t="s">
        <v>47</v>
      </c>
      <c r="L51" s="45" t="s">
        <v>807</v>
      </c>
      <c r="M51" s="45" t="s">
        <v>809</v>
      </c>
      <c r="N51" s="45">
        <v>0.18</v>
      </c>
      <c r="O51" s="45" t="s">
        <v>810</v>
      </c>
      <c r="P51" s="45" t="s">
        <v>811</v>
      </c>
      <c r="Q51" s="45">
        <v>0.8</v>
      </c>
      <c r="R51" s="45"/>
      <c r="S51" s="45"/>
      <c r="T51" s="45"/>
      <c r="U51" s="45"/>
      <c r="V51" s="45"/>
      <c r="W51" s="45"/>
      <c r="Y51" s="66" t="s">
        <v>875</v>
      </c>
      <c r="Z51" s="66">
        <f>SUMIF(L:L,"P.S.372",N:N)</f>
        <v>8682</v>
      </c>
      <c r="AA51" s="7">
        <f>SUMIF(O:O,"P.S.372",Q:Q)</f>
        <v>0</v>
      </c>
      <c r="AB51" s="7">
        <f>SUMIF(R:R,"P.S.372",T:T)</f>
        <v>0</v>
      </c>
      <c r="AC51" s="7">
        <f>SUMIF(U:U,"P.S.372",W:W)</f>
        <v>0</v>
      </c>
      <c r="AD51" s="7">
        <f>SUMIF(X:X,"P.S.372",Z:Z)</f>
        <v>0</v>
      </c>
      <c r="AE51" s="57">
        <f t="shared" ref="AE51" si="34">Z51+AA51+AB51+AC51+AD51</f>
        <v>8682</v>
      </c>
    </row>
    <row r="52" spans="2:31" s="7" customFormat="1" ht="89.25" hidden="1" x14ac:dyDescent="0.25">
      <c r="B52" s="20" t="s">
        <v>222</v>
      </c>
      <c r="C52" s="20" t="s">
        <v>581</v>
      </c>
      <c r="D52" s="20" t="s">
        <v>572</v>
      </c>
      <c r="E52" s="20" t="s">
        <v>519</v>
      </c>
      <c r="F52" s="20" t="s">
        <v>548</v>
      </c>
      <c r="G52" s="20" t="s">
        <v>520</v>
      </c>
      <c r="H52" s="20" t="s">
        <v>575</v>
      </c>
      <c r="I52" s="20" t="s">
        <v>467</v>
      </c>
      <c r="J52" s="20" t="s">
        <v>468</v>
      </c>
      <c r="K52" s="20" t="s">
        <v>47</v>
      </c>
      <c r="L52" s="45" t="s">
        <v>810</v>
      </c>
      <c r="M52" s="45" t="s">
        <v>812</v>
      </c>
      <c r="N52" s="45">
        <v>0.8</v>
      </c>
      <c r="O52" s="45"/>
      <c r="P52" s="45"/>
      <c r="Q52" s="45"/>
      <c r="R52" s="45"/>
      <c r="S52" s="45"/>
      <c r="T52" s="45"/>
      <c r="U52" s="45"/>
      <c r="V52" s="45"/>
      <c r="W52" s="45"/>
      <c r="Y52" s="66" t="s">
        <v>950</v>
      </c>
      <c r="Z52" s="66">
        <f>SUMIF(L:L,"P.S.379",N:N)</f>
        <v>0</v>
      </c>
      <c r="AA52" s="7">
        <f>SUMIF(O:O,"P.S.379",Q:Q)</f>
        <v>0</v>
      </c>
      <c r="AB52" s="7">
        <f>SUMIF(R:R,"P.S.379",T:T)</f>
        <v>0</v>
      </c>
      <c r="AC52" s="7">
        <f>SUMIF(U:U,"P.S.379",W:W)</f>
        <v>0</v>
      </c>
      <c r="AD52" s="7">
        <f>SUMIF(X:X,"P.S.379",Z:Z)</f>
        <v>0</v>
      </c>
      <c r="AE52" s="57">
        <f t="shared" ref="AE52" si="35">Z52+AA52+AB52+AC52+AD52</f>
        <v>0</v>
      </c>
    </row>
    <row r="53" spans="2:31" s="7" customFormat="1" ht="68.25" hidden="1" customHeight="1" x14ac:dyDescent="0.25">
      <c r="B53" s="20" t="s">
        <v>574</v>
      </c>
      <c r="C53" s="20" t="s">
        <v>582</v>
      </c>
      <c r="D53" s="20" t="s">
        <v>573</v>
      </c>
      <c r="E53" s="20" t="s">
        <v>481</v>
      </c>
      <c r="F53" s="20" t="s">
        <v>576</v>
      </c>
      <c r="G53" s="20" t="s">
        <v>482</v>
      </c>
      <c r="H53" s="20" t="s">
        <v>575</v>
      </c>
      <c r="I53" s="20" t="s">
        <v>475</v>
      </c>
      <c r="J53" s="20" t="s">
        <v>476</v>
      </c>
      <c r="K53" s="20" t="s">
        <v>477</v>
      </c>
      <c r="L53" s="45" t="s">
        <v>807</v>
      </c>
      <c r="M53" s="45" t="s">
        <v>808</v>
      </c>
      <c r="N53" s="45">
        <v>0.5</v>
      </c>
      <c r="O53" s="45"/>
      <c r="P53" s="45"/>
      <c r="Q53" s="45"/>
      <c r="R53" s="45"/>
      <c r="S53" s="45"/>
      <c r="T53" s="45"/>
      <c r="U53" s="45"/>
      <c r="V53" s="45"/>
      <c r="W53" s="45"/>
      <c r="Y53" s="66" t="s">
        <v>894</v>
      </c>
      <c r="Z53" s="66">
        <f>SUMIF(L:L,"P.S.415",N:N)</f>
        <v>38</v>
      </c>
      <c r="AA53" s="7">
        <f>SUMIF(O:O,"P.S.415",Q:Q)</f>
        <v>0</v>
      </c>
      <c r="AB53" s="7">
        <f>SUMIF(R:R,"P.S.415",T:T)</f>
        <v>0</v>
      </c>
      <c r="AC53" s="7">
        <f>SUMIF(U:U,"P.S.415",W:W)</f>
        <v>0</v>
      </c>
      <c r="AD53" s="7">
        <f>SUMIF(X:X,"P.S.415",Z:Z)</f>
        <v>0</v>
      </c>
      <c r="AE53" s="57">
        <f t="shared" ref="AE53" si="36">Z53+AA53+AB53+AC53+AD53</f>
        <v>38</v>
      </c>
    </row>
    <row r="54" spans="2:31" s="7" customFormat="1" ht="38.25" hidden="1" x14ac:dyDescent="0.25">
      <c r="B54" s="30" t="s">
        <v>226</v>
      </c>
      <c r="C54" s="30"/>
      <c r="D54" s="30" t="s">
        <v>227</v>
      </c>
      <c r="E54" s="30"/>
      <c r="F54" s="30"/>
      <c r="G54" s="30"/>
      <c r="H54" s="30"/>
      <c r="I54" s="30"/>
      <c r="J54" s="30"/>
      <c r="K54" s="30"/>
      <c r="L54" s="50"/>
      <c r="M54" s="50"/>
      <c r="N54" s="50"/>
      <c r="O54" s="50"/>
      <c r="P54" s="50"/>
      <c r="Q54" s="50"/>
      <c r="R54" s="50"/>
      <c r="S54" s="50"/>
      <c r="T54" s="50"/>
      <c r="U54" s="50"/>
      <c r="V54" s="50"/>
      <c r="W54" s="50"/>
      <c r="Y54" s="66" t="s">
        <v>896</v>
      </c>
      <c r="Z54" s="66">
        <f>SUMIF(L:L,"P.S.416",N:N)</f>
        <v>0</v>
      </c>
      <c r="AA54" s="7">
        <f>SUMIF(O:O,"P.S.416",Q:Q)</f>
        <v>120</v>
      </c>
      <c r="AB54" s="7">
        <f>SUMIF(R:R,"P.S.416",T:T)</f>
        <v>0</v>
      </c>
      <c r="AC54" s="7">
        <f>SUMIF(U:U,"P.S.416",W:W)</f>
        <v>0</v>
      </c>
      <c r="AD54" s="7">
        <f>SUMIF(X:X,"P.S.416",Z:Z)</f>
        <v>0</v>
      </c>
      <c r="AE54" s="57">
        <f t="shared" ref="AE54" si="37">Z54+AA54+AB54+AC54+AD54</f>
        <v>120</v>
      </c>
    </row>
    <row r="55" spans="2:31" s="7" customFormat="1" ht="63.75" hidden="1" x14ac:dyDescent="0.25">
      <c r="B55" s="20" t="s">
        <v>228</v>
      </c>
      <c r="C55" s="20" t="s">
        <v>594</v>
      </c>
      <c r="D55" s="20" t="s">
        <v>583</v>
      </c>
      <c r="E55" s="20" t="s">
        <v>478</v>
      </c>
      <c r="F55" s="20" t="s">
        <v>548</v>
      </c>
      <c r="G55" s="20" t="s">
        <v>479</v>
      </c>
      <c r="H55" s="20" t="s">
        <v>584</v>
      </c>
      <c r="I55" s="20" t="s">
        <v>467</v>
      </c>
      <c r="J55" s="20" t="s">
        <v>468</v>
      </c>
      <c r="K55" s="20" t="s">
        <v>47</v>
      </c>
      <c r="L55" s="45" t="s">
        <v>813</v>
      </c>
      <c r="M55" s="45" t="s">
        <v>814</v>
      </c>
      <c r="N55" s="45">
        <v>1</v>
      </c>
      <c r="O55" s="45"/>
      <c r="P55" s="45"/>
      <c r="Q55" s="45"/>
      <c r="R55" s="45"/>
      <c r="S55" s="45"/>
      <c r="T55" s="45"/>
      <c r="U55" s="45"/>
      <c r="V55" s="45"/>
      <c r="W55" s="45"/>
      <c r="Y55" s="66" t="s">
        <v>855</v>
      </c>
      <c r="Z55" s="66">
        <f>SUMIF(L:L,"R.N.091",N:N)</f>
        <v>20.59</v>
      </c>
      <c r="AA55" s="7">
        <f>SUMIF(O:O,"R.N.091",Q:Q)</f>
        <v>100.5</v>
      </c>
      <c r="AB55" s="7">
        <f>SUMIF(R:R,"R.N.091",T:T)</f>
        <v>10</v>
      </c>
      <c r="AC55" s="7">
        <f>SUMIF(U:U,"R.N.091",W:W)</f>
        <v>0</v>
      </c>
      <c r="AD55" s="7">
        <f>SUMIF(X:X,"R.N.091",Z:Z)</f>
        <v>0</v>
      </c>
      <c r="AE55" s="57">
        <f t="shared" ref="AE55" si="38">Z55+AA55+AB55+AC55+AD55</f>
        <v>131.09</v>
      </c>
    </row>
    <row r="56" spans="2:31" s="7" customFormat="1" ht="42" hidden="1" customHeight="1" x14ac:dyDescent="0.25">
      <c r="B56" s="20" t="s">
        <v>230</v>
      </c>
      <c r="C56" s="20" t="s">
        <v>595</v>
      </c>
      <c r="D56" s="20" t="s">
        <v>231</v>
      </c>
      <c r="E56" s="20" t="s">
        <v>515</v>
      </c>
      <c r="F56" s="20" t="s">
        <v>548</v>
      </c>
      <c r="G56" s="20" t="s">
        <v>555</v>
      </c>
      <c r="H56" s="20" t="s">
        <v>585</v>
      </c>
      <c r="I56" s="20" t="s">
        <v>467</v>
      </c>
      <c r="J56" s="20" t="s">
        <v>468</v>
      </c>
      <c r="K56" s="20" t="s">
        <v>47</v>
      </c>
      <c r="L56" s="45" t="s">
        <v>815</v>
      </c>
      <c r="M56" s="45" t="s">
        <v>816</v>
      </c>
      <c r="N56" s="45">
        <v>1</v>
      </c>
      <c r="O56" s="45"/>
      <c r="P56" s="45"/>
      <c r="Q56" s="45"/>
      <c r="R56" s="45"/>
      <c r="S56" s="45"/>
      <c r="T56" s="45"/>
      <c r="U56" s="45"/>
      <c r="V56" s="45"/>
      <c r="W56" s="45"/>
      <c r="Y56" s="66" t="s">
        <v>888</v>
      </c>
      <c r="Z56" s="66">
        <f>SUMIF(L:L,"R.N.404",N:N)</f>
        <v>0</v>
      </c>
      <c r="AA56" s="7">
        <f>SUMIF(O:O,"R.N.404",Q:Q)</f>
        <v>0</v>
      </c>
      <c r="AB56" s="7">
        <f>SUMIF(R:R,"R.N.404",T:T)</f>
        <v>98</v>
      </c>
      <c r="AC56" s="7">
        <f>SUMIF(U:U,"R.N.404",W:W)</f>
        <v>0</v>
      </c>
      <c r="AD56" s="7">
        <f>SUMIF(X:X,"R.N.404",Z:Z)</f>
        <v>0</v>
      </c>
      <c r="AE56" s="57">
        <f t="shared" ref="AE56" si="39">Z56+AA56+AB56+AC56+AD56</f>
        <v>98</v>
      </c>
    </row>
    <row r="57" spans="2:31" s="7" customFormat="1" ht="49.5" hidden="1" customHeight="1" x14ac:dyDescent="0.25">
      <c r="B57" s="20" t="s">
        <v>232</v>
      </c>
      <c r="C57" s="20" t="s">
        <v>596</v>
      </c>
      <c r="D57" s="20" t="s">
        <v>587</v>
      </c>
      <c r="E57" s="20" t="s">
        <v>515</v>
      </c>
      <c r="F57" s="20" t="s">
        <v>548</v>
      </c>
      <c r="G57" s="20" t="s">
        <v>516</v>
      </c>
      <c r="H57" s="20" t="s">
        <v>588</v>
      </c>
      <c r="I57" s="20" t="s">
        <v>467</v>
      </c>
      <c r="J57" s="20" t="s">
        <v>468</v>
      </c>
      <c r="K57" s="20" t="s">
        <v>47</v>
      </c>
      <c r="L57" s="45" t="s">
        <v>813</v>
      </c>
      <c r="M57" s="45" t="s">
        <v>814</v>
      </c>
      <c r="N57" s="45">
        <v>2</v>
      </c>
      <c r="O57" s="45"/>
      <c r="P57" s="45"/>
      <c r="Q57" s="45"/>
      <c r="R57" s="45"/>
      <c r="S57" s="45"/>
      <c r="T57" s="45"/>
      <c r="U57" s="45"/>
      <c r="V57" s="45"/>
      <c r="W57" s="45"/>
      <c r="Y57" s="58" t="s">
        <v>801</v>
      </c>
      <c r="Z57" s="58">
        <f>SUMIF(L:L,"R.S.342",N:N)</f>
        <v>0</v>
      </c>
      <c r="AA57" s="58">
        <f>SUMIF(O:O,"R.S.342",Q:Q)</f>
        <v>0</v>
      </c>
      <c r="AB57" s="58">
        <f>SUMIF(R:R,"R.S.342",T:T)</f>
        <v>0</v>
      </c>
      <c r="AC57" s="58">
        <f>SUMIF(U:U,"R.S.342",W:W)</f>
        <v>0</v>
      </c>
      <c r="AD57" s="58">
        <f>SUMIF(X:X,"R.S.342",Z:Z)</f>
        <v>0</v>
      </c>
      <c r="AE57" s="103">
        <f t="shared" ref="AE57" si="40">Z57+AA57+AB57+AC57+AD57</f>
        <v>0</v>
      </c>
    </row>
    <row r="58" spans="2:31" s="7" customFormat="1" ht="47.25" hidden="1" customHeight="1" x14ac:dyDescent="0.25">
      <c r="B58" s="20" t="s">
        <v>234</v>
      </c>
      <c r="C58" s="20" t="s">
        <v>597</v>
      </c>
      <c r="D58" s="20" t="s">
        <v>235</v>
      </c>
      <c r="E58" s="20" t="s">
        <v>589</v>
      </c>
      <c r="F58" s="20" t="s">
        <v>548</v>
      </c>
      <c r="G58" s="20" t="s">
        <v>553</v>
      </c>
      <c r="H58" s="20" t="s">
        <v>590</v>
      </c>
      <c r="I58" s="20" t="s">
        <v>518</v>
      </c>
      <c r="J58" s="20" t="s">
        <v>47</v>
      </c>
      <c r="K58" s="20" t="s">
        <v>47</v>
      </c>
      <c r="L58" s="45" t="s">
        <v>815</v>
      </c>
      <c r="M58" s="45" t="s">
        <v>816</v>
      </c>
      <c r="N58" s="45">
        <v>1</v>
      </c>
      <c r="O58" s="45"/>
      <c r="P58" s="45"/>
      <c r="Q58" s="45"/>
      <c r="R58" s="45"/>
      <c r="S58" s="45"/>
      <c r="T58" s="45"/>
      <c r="U58" s="45"/>
      <c r="V58" s="45"/>
      <c r="W58" s="45"/>
      <c r="Y58" s="66" t="s">
        <v>865</v>
      </c>
      <c r="Z58" s="66">
        <f>SUMIF(L:L,"P.N.743",N:N)</f>
        <v>0</v>
      </c>
      <c r="AA58" s="7">
        <f>SUMIF(O:O,"P.N.743",Q:Q)</f>
        <v>6</v>
      </c>
      <c r="AB58" s="7">
        <f>SUMIF(R:R,"P.N.743",T:T)</f>
        <v>0</v>
      </c>
      <c r="AC58" s="7">
        <f>SUMIF(U:U,"P.N.743",W:W)</f>
        <v>0</v>
      </c>
      <c r="AD58" s="7">
        <f>SUMIF(X:X,"P.N.743",Z:Z)</f>
        <v>0</v>
      </c>
      <c r="AE58" s="57">
        <f t="shared" ref="AE58" si="41">Z58+AA58+AB58+AC58+AD58</f>
        <v>6</v>
      </c>
    </row>
    <row r="59" spans="2:31" s="7" customFormat="1" ht="54.75" hidden="1" customHeight="1" x14ac:dyDescent="0.25">
      <c r="B59" s="20" t="s">
        <v>236</v>
      </c>
      <c r="C59" s="20" t="s">
        <v>598</v>
      </c>
      <c r="D59" s="20" t="s">
        <v>237</v>
      </c>
      <c r="E59" s="20" t="s">
        <v>478</v>
      </c>
      <c r="F59" s="20" t="s">
        <v>548</v>
      </c>
      <c r="G59" s="20" t="s">
        <v>479</v>
      </c>
      <c r="H59" s="20" t="s">
        <v>590</v>
      </c>
      <c r="I59" s="20"/>
      <c r="J59" s="20"/>
      <c r="K59" s="20"/>
      <c r="L59" s="45" t="s">
        <v>815</v>
      </c>
      <c r="M59" s="45" t="s">
        <v>816</v>
      </c>
      <c r="N59" s="45">
        <v>1</v>
      </c>
      <c r="O59" s="45"/>
      <c r="P59" s="45"/>
      <c r="Q59" s="45"/>
      <c r="R59" s="45"/>
      <c r="S59" s="45"/>
      <c r="T59" s="45"/>
      <c r="U59" s="45"/>
      <c r="V59" s="45"/>
      <c r="W59" s="45"/>
      <c r="Y59" s="66" t="s">
        <v>860</v>
      </c>
      <c r="Z59" s="66">
        <f>SUMIF(L:L,"P.N.094",N:N)</f>
        <v>0</v>
      </c>
      <c r="AA59" s="7">
        <f>SUMIF(O:O,"P.N.094",Q:Q)</f>
        <v>0</v>
      </c>
      <c r="AB59" s="7">
        <f>SUMIF(R:R,"P.N.094",T:T)</f>
        <v>0</v>
      </c>
      <c r="AC59" s="7">
        <f>SUMIF(U:U,"P.N.094",W:W)</f>
        <v>2</v>
      </c>
      <c r="AD59" s="7">
        <f>SUMIF(X:X,"P.N.094",Z:Z)</f>
        <v>0</v>
      </c>
      <c r="AE59" s="57">
        <f t="shared" ref="AE59" si="42">Z59+AA59+AB59+AC59+AD59</f>
        <v>2</v>
      </c>
    </row>
    <row r="60" spans="2:31" s="7" customFormat="1" ht="63.75" hidden="1" x14ac:dyDescent="0.25">
      <c r="B60" s="30" t="s">
        <v>238</v>
      </c>
      <c r="C60" s="30"/>
      <c r="D60" s="30" t="s">
        <v>239</v>
      </c>
      <c r="E60" s="30"/>
      <c r="F60" s="30"/>
      <c r="G60" s="30"/>
      <c r="H60" s="30"/>
      <c r="I60" s="30"/>
      <c r="J60" s="30"/>
      <c r="K60" s="30"/>
      <c r="L60" s="50"/>
      <c r="M60" s="50"/>
      <c r="N60" s="50"/>
      <c r="O60" s="50"/>
      <c r="P60" s="50"/>
      <c r="Q60" s="50"/>
      <c r="R60" s="50"/>
      <c r="S60" s="50"/>
      <c r="T60" s="50"/>
      <c r="U60" s="50"/>
      <c r="V60" s="50"/>
      <c r="W60" s="50"/>
      <c r="Y60" s="66" t="s">
        <v>873</v>
      </c>
      <c r="Z60" s="66">
        <f>SUMIF(L:L,"P.N.604",N:N)</f>
        <v>101</v>
      </c>
      <c r="AA60" s="7">
        <f>SUMIF(O:O,"P.N.604",Q:Q)</f>
        <v>0</v>
      </c>
      <c r="AB60" s="7">
        <f>SUMIF(R:R,"P.N.604",T:T)</f>
        <v>0</v>
      </c>
      <c r="AC60" s="7">
        <f>SUMIF(U:U,"P.N.604",W:W)</f>
        <v>0</v>
      </c>
      <c r="AD60" s="7">
        <f>SUMIF(X:X,"P.N.604",Z:Z)</f>
        <v>0</v>
      </c>
      <c r="AE60" s="57">
        <f t="shared" ref="AE60" si="43">Z60+AA60+AB60+AC60+AD60</f>
        <v>101</v>
      </c>
    </row>
    <row r="61" spans="2:31" s="7" customFormat="1" ht="19.5" hidden="1" customHeight="1" x14ac:dyDescent="0.25">
      <c r="B61" s="95"/>
      <c r="C61" s="95"/>
      <c r="D61" s="95"/>
      <c r="E61" s="95"/>
      <c r="F61" s="95"/>
      <c r="G61" s="95"/>
      <c r="H61" s="95"/>
      <c r="I61" s="95"/>
      <c r="J61" s="95"/>
      <c r="K61" s="95"/>
      <c r="L61" s="93"/>
      <c r="M61" s="93"/>
      <c r="N61" s="93"/>
      <c r="O61" s="45"/>
      <c r="P61" s="45"/>
      <c r="Q61" s="45"/>
      <c r="R61" s="45"/>
      <c r="S61" s="45"/>
      <c r="T61" s="45"/>
      <c r="U61" s="45"/>
      <c r="V61" s="45"/>
      <c r="W61" s="45"/>
      <c r="Y61" s="66" t="s">
        <v>962</v>
      </c>
      <c r="Z61" s="66">
        <f>SUMIF(L:L,"P.S.303",N:N)</f>
        <v>9</v>
      </c>
      <c r="AA61" s="7">
        <f>SUMIF(O:O,"P.S.303",Q:Q)</f>
        <v>0</v>
      </c>
      <c r="AB61" s="7">
        <f>SUMIF(R:R,"P.S.303",T:T)</f>
        <v>0</v>
      </c>
      <c r="AC61" s="7">
        <f>SUMIF(U:U,"P.S.303",W:W)</f>
        <v>0</v>
      </c>
      <c r="AD61" s="7">
        <f>SUMIF(X:X,"P.S.303",Z:Z)</f>
        <v>0</v>
      </c>
      <c r="AE61" s="57">
        <f t="shared" ref="AE61" si="44">Z61+AA61+AB61+AC61+AD61</f>
        <v>9</v>
      </c>
    </row>
    <row r="62" spans="2:31" s="7" customFormat="1" ht="93.75" hidden="1" customHeight="1" x14ac:dyDescent="0.25">
      <c r="B62" s="20" t="s">
        <v>240</v>
      </c>
      <c r="C62" s="20" t="s">
        <v>601</v>
      </c>
      <c r="D62" s="20" t="s">
        <v>600</v>
      </c>
      <c r="E62" s="20" t="s">
        <v>519</v>
      </c>
      <c r="F62" s="20" t="s">
        <v>548</v>
      </c>
      <c r="G62" s="20" t="s">
        <v>553</v>
      </c>
      <c r="H62" s="20" t="s">
        <v>599</v>
      </c>
      <c r="I62" s="20" t="s">
        <v>467</v>
      </c>
      <c r="J62" s="20" t="s">
        <v>47</v>
      </c>
      <c r="K62" s="20" t="s">
        <v>47</v>
      </c>
      <c r="L62" s="45" t="s">
        <v>817</v>
      </c>
      <c r="M62" s="45" t="s">
        <v>818</v>
      </c>
      <c r="N62" s="45">
        <v>4</v>
      </c>
      <c r="O62" s="45"/>
      <c r="P62" s="45"/>
      <c r="Q62" s="45"/>
      <c r="R62" s="45"/>
      <c r="S62" s="45"/>
      <c r="T62" s="45"/>
      <c r="U62" s="45"/>
      <c r="V62" s="45"/>
      <c r="W62" s="45"/>
      <c r="Y62" s="66" t="s">
        <v>1009</v>
      </c>
      <c r="Z62" s="66">
        <f>SUMIF(L:L,"P.B.236",N:N)</f>
        <v>106548</v>
      </c>
      <c r="AA62" s="7">
        <f>SUMIF(O:O,"P.B.236",Q:Q)</f>
        <v>0</v>
      </c>
      <c r="AB62" s="7">
        <f>SUMIF(R:R,"P.B.236",T:T)</f>
        <v>0</v>
      </c>
      <c r="AC62" s="7">
        <f>SUMIF(U:U,"P.B.236",W:W)</f>
        <v>0</v>
      </c>
      <c r="AD62" s="7">
        <f>SUMIF(X:X,"P.B.236",Z:Z)</f>
        <v>0</v>
      </c>
      <c r="AE62" s="57">
        <f t="shared" ref="AE62" si="45">Z62+AA62+AB62+AC62+AD62</f>
        <v>106548</v>
      </c>
    </row>
    <row r="63" spans="2:31" s="7" customFormat="1" ht="42.75" hidden="1" customHeight="1" x14ac:dyDescent="0.25">
      <c r="B63" s="70" t="s">
        <v>972</v>
      </c>
      <c r="C63" s="70"/>
      <c r="D63" s="70" t="s">
        <v>973</v>
      </c>
      <c r="E63" s="67"/>
      <c r="F63" s="67"/>
      <c r="G63" s="67"/>
      <c r="H63" s="67"/>
      <c r="I63" s="67"/>
      <c r="J63" s="67"/>
      <c r="K63" s="67"/>
      <c r="L63" s="75"/>
      <c r="M63" s="75"/>
      <c r="N63" s="75"/>
      <c r="O63" s="75"/>
      <c r="P63" s="75"/>
      <c r="Q63" s="75"/>
      <c r="R63" s="75"/>
      <c r="S63" s="75"/>
      <c r="T63" s="75"/>
      <c r="U63" s="75"/>
      <c r="V63" s="75"/>
      <c r="W63" s="75"/>
      <c r="Y63" s="66" t="s">
        <v>1011</v>
      </c>
      <c r="Z63" s="66">
        <f>SUMIF(L:L,"P.S.363",N:N)</f>
        <v>0</v>
      </c>
      <c r="AA63" s="7">
        <f>SUMIF(O:O,"P.S.363",Q:Q)</f>
        <v>8</v>
      </c>
      <c r="AB63" s="7">
        <f>SUMIF(R:R,"P.S.363",T:T)</f>
        <v>0</v>
      </c>
      <c r="AC63" s="7">
        <f>SUMIF(U:U,"P.S.363",W:W)</f>
        <v>0</v>
      </c>
      <c r="AD63" s="7">
        <f>SUMIF(X:X,"P.S.363",Z:Z)</f>
        <v>0</v>
      </c>
      <c r="AE63" s="57">
        <f t="shared" ref="AE63" si="46">Z63+AA63+AB63+AC63+AD63</f>
        <v>8</v>
      </c>
    </row>
    <row r="64" spans="2:31" s="7" customFormat="1" ht="51" hidden="1" x14ac:dyDescent="0.25">
      <c r="B64" s="33" t="s">
        <v>242</v>
      </c>
      <c r="C64" s="44"/>
      <c r="D64" s="33" t="s">
        <v>243</v>
      </c>
      <c r="E64" s="33"/>
      <c r="F64" s="44"/>
      <c r="G64" s="33"/>
      <c r="H64" s="44"/>
      <c r="I64" s="33"/>
      <c r="J64" s="33"/>
      <c r="K64" s="44"/>
      <c r="L64" s="51"/>
      <c r="M64" s="52"/>
      <c r="N64" s="51"/>
      <c r="O64" s="51"/>
      <c r="P64" s="52"/>
      <c r="Q64" s="51"/>
      <c r="R64" s="52"/>
      <c r="S64" s="51"/>
      <c r="T64" s="51"/>
      <c r="U64" s="52"/>
      <c r="V64" s="51"/>
      <c r="W64" s="52"/>
    </row>
    <row r="65" spans="2:33" s="7" customFormat="1" ht="63.75" hidden="1" x14ac:dyDescent="0.25">
      <c r="B65" s="13" t="s">
        <v>244</v>
      </c>
      <c r="C65" s="28"/>
      <c r="D65" s="28" t="s">
        <v>245</v>
      </c>
      <c r="E65" s="13"/>
      <c r="F65" s="13"/>
      <c r="G65" s="28"/>
      <c r="H65" s="28"/>
      <c r="I65" s="13"/>
      <c r="J65" s="13"/>
      <c r="K65" s="28"/>
      <c r="L65" s="48"/>
      <c r="M65" s="49"/>
      <c r="N65" s="49"/>
      <c r="O65" s="48"/>
      <c r="P65" s="48"/>
      <c r="Q65" s="49"/>
      <c r="R65" s="49"/>
      <c r="S65" s="48"/>
      <c r="T65" s="48"/>
      <c r="U65" s="49"/>
      <c r="V65" s="49"/>
      <c r="W65" s="48"/>
    </row>
    <row r="66" spans="2:33" s="7" customFormat="1" ht="63.75" hidden="1" x14ac:dyDescent="0.25">
      <c r="B66" s="30" t="s">
        <v>246</v>
      </c>
      <c r="C66" s="30"/>
      <c r="D66" s="30" t="s">
        <v>247</v>
      </c>
      <c r="E66" s="30"/>
      <c r="F66" s="30"/>
      <c r="G66" s="30"/>
      <c r="H66" s="30"/>
      <c r="I66" s="30"/>
      <c r="J66" s="30"/>
      <c r="K66" s="30"/>
      <c r="L66" s="50"/>
      <c r="M66" s="50"/>
      <c r="N66" s="50"/>
      <c r="O66" s="50"/>
      <c r="P66" s="50"/>
      <c r="Q66" s="50"/>
      <c r="R66" s="50"/>
      <c r="S66" s="50"/>
      <c r="T66" s="50"/>
      <c r="U66" s="50"/>
      <c r="V66" s="50"/>
      <c r="W66" s="50"/>
    </row>
    <row r="67" spans="2:33" s="7" customFormat="1" ht="124.5" hidden="1" customHeight="1" x14ac:dyDescent="0.25">
      <c r="B67" s="20" t="s">
        <v>248</v>
      </c>
      <c r="C67" s="20" t="s">
        <v>614</v>
      </c>
      <c r="D67" s="20" t="s">
        <v>249</v>
      </c>
      <c r="E67" s="20" t="s">
        <v>463</v>
      </c>
      <c r="F67" s="20" t="s">
        <v>602</v>
      </c>
      <c r="G67" s="20" t="s">
        <v>465</v>
      </c>
      <c r="H67" s="20" t="s">
        <v>603</v>
      </c>
      <c r="I67" s="20" t="s">
        <v>467</v>
      </c>
      <c r="J67" s="20" t="s">
        <v>468</v>
      </c>
      <c r="K67" s="20" t="s">
        <v>47</v>
      </c>
      <c r="L67" s="45" t="s">
        <v>819</v>
      </c>
      <c r="M67" s="45" t="s">
        <v>820</v>
      </c>
      <c r="N67" s="45">
        <v>1</v>
      </c>
      <c r="O67" s="45" t="s">
        <v>821</v>
      </c>
      <c r="P67" s="45" t="s">
        <v>822</v>
      </c>
      <c r="Q67" s="45">
        <v>500</v>
      </c>
      <c r="R67" s="45"/>
      <c r="S67" s="45"/>
      <c r="T67" s="45"/>
      <c r="U67" s="45"/>
      <c r="V67" s="45"/>
      <c r="W67" s="45"/>
    </row>
    <row r="68" spans="2:33" s="7" customFormat="1" ht="127.5" hidden="1" customHeight="1" x14ac:dyDescent="0.25">
      <c r="B68" s="20" t="s">
        <v>250</v>
      </c>
      <c r="C68" s="20" t="s">
        <v>615</v>
      </c>
      <c r="D68" s="20" t="s">
        <v>251</v>
      </c>
      <c r="E68" s="20" t="s">
        <v>604</v>
      </c>
      <c r="F68" s="20" t="s">
        <v>605</v>
      </c>
      <c r="G68" s="20" t="s">
        <v>606</v>
      </c>
      <c r="H68" s="20" t="s">
        <v>607</v>
      </c>
      <c r="I68" s="20" t="s">
        <v>475</v>
      </c>
      <c r="J68" s="20" t="s">
        <v>476</v>
      </c>
      <c r="K68" s="20" t="s">
        <v>477</v>
      </c>
      <c r="L68" s="45" t="s">
        <v>819</v>
      </c>
      <c r="M68" s="45" t="s">
        <v>820</v>
      </c>
      <c r="N68" s="45">
        <v>1</v>
      </c>
      <c r="O68" s="45" t="s">
        <v>821</v>
      </c>
      <c r="P68" s="45" t="s">
        <v>822</v>
      </c>
      <c r="Q68" s="45">
        <v>2800</v>
      </c>
      <c r="R68" s="45"/>
      <c r="S68" s="45"/>
      <c r="T68" s="45"/>
      <c r="U68" s="45"/>
      <c r="V68" s="45"/>
      <c r="W68" s="45"/>
    </row>
    <row r="69" spans="2:33" s="7" customFormat="1" ht="183.75" hidden="1" customHeight="1" x14ac:dyDescent="0.25">
      <c r="B69" s="20" t="s">
        <v>252</v>
      </c>
      <c r="C69" s="20" t="s">
        <v>616</v>
      </c>
      <c r="D69" s="20" t="s">
        <v>608</v>
      </c>
      <c r="E69" s="20" t="s">
        <v>478</v>
      </c>
      <c r="F69" s="20" t="s">
        <v>602</v>
      </c>
      <c r="G69" s="20" t="s">
        <v>609</v>
      </c>
      <c r="H69" s="20" t="s">
        <v>603</v>
      </c>
      <c r="I69" s="20" t="s">
        <v>467</v>
      </c>
      <c r="J69" s="20" t="s">
        <v>47</v>
      </c>
      <c r="K69" s="20" t="s">
        <v>47</v>
      </c>
      <c r="L69" s="45" t="s">
        <v>819</v>
      </c>
      <c r="M69" s="45" t="s">
        <v>823</v>
      </c>
      <c r="N69" s="45">
        <v>1</v>
      </c>
      <c r="O69" s="45" t="s">
        <v>821</v>
      </c>
      <c r="P69" s="45" t="s">
        <v>824</v>
      </c>
      <c r="Q69" s="45">
        <v>250</v>
      </c>
      <c r="R69" s="45"/>
      <c r="S69" s="45"/>
      <c r="T69" s="45"/>
      <c r="U69" s="45"/>
      <c r="V69" s="45"/>
      <c r="W69" s="45"/>
    </row>
    <row r="70" spans="2:33" s="7" customFormat="1" ht="127.5" hidden="1" customHeight="1" x14ac:dyDescent="0.25">
      <c r="B70" s="20" t="s">
        <v>254</v>
      </c>
      <c r="C70" s="20" t="s">
        <v>617</v>
      </c>
      <c r="D70" s="20" t="s">
        <v>255</v>
      </c>
      <c r="E70" s="20" t="s">
        <v>550</v>
      </c>
      <c r="F70" s="20" t="s">
        <v>602</v>
      </c>
      <c r="G70" s="20" t="s">
        <v>551</v>
      </c>
      <c r="H70" s="20" t="s">
        <v>610</v>
      </c>
      <c r="I70" s="20" t="s">
        <v>467</v>
      </c>
      <c r="J70" s="20" t="s">
        <v>47</v>
      </c>
      <c r="K70" s="20" t="s">
        <v>47</v>
      </c>
      <c r="L70" s="45" t="s">
        <v>819</v>
      </c>
      <c r="M70" s="45" t="s">
        <v>820</v>
      </c>
      <c r="N70" s="45">
        <v>1</v>
      </c>
      <c r="O70" s="45" t="s">
        <v>821</v>
      </c>
      <c r="P70" s="45" t="s">
        <v>822</v>
      </c>
      <c r="Q70" s="45">
        <v>320</v>
      </c>
      <c r="R70" s="45"/>
      <c r="S70" s="45"/>
      <c r="T70" s="45"/>
      <c r="U70" s="45"/>
      <c r="V70" s="45"/>
      <c r="W70" s="45"/>
    </row>
    <row r="71" spans="2:33" s="7" customFormat="1" ht="38.25" hidden="1" x14ac:dyDescent="0.25">
      <c r="B71" s="13" t="s">
        <v>256</v>
      </c>
      <c r="C71" s="28"/>
      <c r="D71" s="28" t="s">
        <v>257</v>
      </c>
      <c r="E71" s="13"/>
      <c r="F71" s="28"/>
      <c r="G71" s="28"/>
      <c r="H71" s="13"/>
      <c r="I71" s="28"/>
      <c r="J71" s="28"/>
      <c r="K71" s="13"/>
      <c r="L71" s="48"/>
      <c r="M71" s="48"/>
      <c r="N71" s="49"/>
      <c r="O71" s="48"/>
      <c r="P71" s="48"/>
      <c r="Q71" s="49"/>
      <c r="R71" s="48"/>
      <c r="S71" s="48"/>
      <c r="T71" s="49"/>
      <c r="U71" s="48"/>
      <c r="V71" s="48"/>
      <c r="W71" s="49"/>
    </row>
    <row r="72" spans="2:33" s="7" customFormat="1" ht="102" hidden="1" x14ac:dyDescent="0.25">
      <c r="B72" s="30" t="s">
        <v>258</v>
      </c>
      <c r="C72" s="30"/>
      <c r="D72" s="30" t="s">
        <v>259</v>
      </c>
      <c r="E72" s="30"/>
      <c r="F72" s="30"/>
      <c r="G72" s="30"/>
      <c r="H72" s="30"/>
      <c r="I72" s="30"/>
      <c r="J72" s="30"/>
      <c r="K72" s="30"/>
      <c r="L72" s="50"/>
      <c r="M72" s="50"/>
      <c r="N72" s="50"/>
      <c r="O72" s="50"/>
      <c r="P72" s="50"/>
      <c r="Q72" s="50"/>
      <c r="R72" s="50"/>
      <c r="S72" s="50"/>
      <c r="T72" s="50"/>
      <c r="U72" s="50"/>
      <c r="V72" s="50"/>
      <c r="W72" s="50"/>
    </row>
    <row r="73" spans="2:33" s="7" customFormat="1" ht="305.25" hidden="1" customHeight="1" x14ac:dyDescent="0.25">
      <c r="B73" s="20" t="s">
        <v>260</v>
      </c>
      <c r="C73" s="20" t="s">
        <v>623</v>
      </c>
      <c r="D73" s="20" t="s">
        <v>261</v>
      </c>
      <c r="E73" s="20" t="s">
        <v>618</v>
      </c>
      <c r="F73" s="20" t="s">
        <v>619</v>
      </c>
      <c r="G73" s="20" t="s">
        <v>620</v>
      </c>
      <c r="H73" s="20" t="s">
        <v>621</v>
      </c>
      <c r="I73" s="20" t="s">
        <v>475</v>
      </c>
      <c r="J73" s="20" t="s">
        <v>477</v>
      </c>
      <c r="K73" s="20" t="s">
        <v>477</v>
      </c>
      <c r="L73" s="45" t="s">
        <v>825</v>
      </c>
      <c r="M73" s="45" t="s">
        <v>826</v>
      </c>
      <c r="N73" s="45">
        <v>86</v>
      </c>
      <c r="O73" s="45"/>
      <c r="P73" s="45"/>
      <c r="Q73" s="45"/>
      <c r="R73" s="45"/>
      <c r="S73" s="45"/>
      <c r="T73" s="45"/>
      <c r="U73" s="45"/>
      <c r="V73" s="45"/>
      <c r="W73" s="45"/>
    </row>
    <row r="74" spans="2:33" s="7" customFormat="1" ht="38.25" hidden="1" x14ac:dyDescent="0.25">
      <c r="B74" s="33" t="s">
        <v>636</v>
      </c>
      <c r="C74" s="44"/>
      <c r="D74" s="33" t="s">
        <v>624</v>
      </c>
      <c r="E74" s="33"/>
      <c r="F74" s="33"/>
      <c r="G74" s="44"/>
      <c r="H74" s="33"/>
      <c r="I74" s="33"/>
      <c r="J74" s="33"/>
      <c r="K74" s="44"/>
      <c r="L74" s="51"/>
      <c r="M74" s="51"/>
      <c r="N74" s="51"/>
      <c r="O74" s="52"/>
      <c r="P74" s="51"/>
      <c r="Q74" s="51"/>
      <c r="R74" s="51"/>
      <c r="S74" s="52"/>
      <c r="T74" s="51"/>
      <c r="U74" s="51"/>
      <c r="V74" s="51"/>
      <c r="W74" s="52"/>
    </row>
    <row r="75" spans="2:33" s="7" customFormat="1" ht="76.5" hidden="1" x14ac:dyDescent="0.25">
      <c r="B75" s="13" t="s">
        <v>264</v>
      </c>
      <c r="C75" s="28"/>
      <c r="D75" s="28" t="s">
        <v>265</v>
      </c>
      <c r="E75" s="13"/>
      <c r="F75" s="28"/>
      <c r="G75" s="28"/>
      <c r="H75" s="13" t="s">
        <v>299</v>
      </c>
      <c r="I75" s="28"/>
      <c r="J75" s="28"/>
      <c r="K75" s="13"/>
      <c r="L75" s="48"/>
      <c r="M75" s="48"/>
      <c r="N75" s="49"/>
      <c r="O75" s="48"/>
      <c r="P75" s="48"/>
      <c r="Q75" s="49"/>
      <c r="R75" s="48"/>
      <c r="S75" s="48"/>
      <c r="T75" s="49"/>
      <c r="U75" s="48"/>
      <c r="V75" s="48"/>
      <c r="W75" s="49"/>
    </row>
    <row r="76" spans="2:33" s="7" customFormat="1" ht="89.25" x14ac:dyDescent="0.25">
      <c r="B76" s="30" t="s">
        <v>266</v>
      </c>
      <c r="C76" s="30"/>
      <c r="D76" s="30" t="s">
        <v>267</v>
      </c>
      <c r="E76" s="30"/>
      <c r="F76" s="30"/>
      <c r="G76" s="30"/>
      <c r="H76" s="30"/>
      <c r="I76" s="30"/>
      <c r="J76" s="30"/>
      <c r="K76" s="30"/>
      <c r="L76" s="50"/>
      <c r="M76" s="50"/>
      <c r="N76" s="50"/>
      <c r="O76" s="50"/>
      <c r="P76" s="50"/>
      <c r="Q76" s="50"/>
      <c r="R76" s="50"/>
      <c r="S76" s="50"/>
      <c r="T76" s="50"/>
      <c r="U76" s="50"/>
      <c r="V76" s="50"/>
      <c r="W76" s="50"/>
    </row>
    <row r="77" spans="2:33" s="7" customFormat="1" ht="180" hidden="1" customHeight="1" x14ac:dyDescent="0.25">
      <c r="B77" s="20" t="s">
        <v>268</v>
      </c>
      <c r="C77" s="20" t="s">
        <v>638</v>
      </c>
      <c r="D77" s="20" t="s">
        <v>625</v>
      </c>
      <c r="E77" s="20" t="s">
        <v>626</v>
      </c>
      <c r="F77" s="20" t="s">
        <v>627</v>
      </c>
      <c r="G77" s="20" t="s">
        <v>543</v>
      </c>
      <c r="H77" s="20" t="s">
        <v>628</v>
      </c>
      <c r="I77" s="20" t="s">
        <v>467</v>
      </c>
      <c r="J77" s="20" t="s">
        <v>47</v>
      </c>
      <c r="K77" s="20" t="s">
        <v>47</v>
      </c>
      <c r="L77" s="45" t="s">
        <v>827</v>
      </c>
      <c r="M77" s="45" t="s">
        <v>828</v>
      </c>
      <c r="N77" s="45">
        <v>5.23</v>
      </c>
      <c r="O77" s="45" t="s">
        <v>829</v>
      </c>
      <c r="P77" s="45" t="s">
        <v>830</v>
      </c>
      <c r="Q77" s="45">
        <v>16</v>
      </c>
      <c r="R77" s="45" t="s">
        <v>831</v>
      </c>
      <c r="S77" s="45" t="s">
        <v>832</v>
      </c>
      <c r="T77" s="45">
        <v>1032</v>
      </c>
      <c r="U77" s="45" t="s">
        <v>833</v>
      </c>
      <c r="V77" s="45" t="s">
        <v>834</v>
      </c>
      <c r="W77" s="45">
        <v>120</v>
      </c>
      <c r="X77" s="45" t="s">
        <v>835</v>
      </c>
      <c r="Y77" s="45" t="s">
        <v>836</v>
      </c>
      <c r="Z77" s="45">
        <v>27</v>
      </c>
      <c r="AF77" s="66"/>
      <c r="AG77" s="66"/>
    </row>
    <row r="78" spans="2:33" s="7" customFormat="1" ht="165.75" hidden="1" x14ac:dyDescent="0.25">
      <c r="B78" s="20" t="s">
        <v>270</v>
      </c>
      <c r="C78" s="20" t="s">
        <v>979</v>
      </c>
      <c r="D78" s="20" t="s">
        <v>629</v>
      </c>
      <c r="E78" s="20" t="s">
        <v>630</v>
      </c>
      <c r="F78" s="20" t="s">
        <v>627</v>
      </c>
      <c r="G78" s="20" t="s">
        <v>551</v>
      </c>
      <c r="H78" s="20" t="s">
        <v>628</v>
      </c>
      <c r="I78" s="20" t="s">
        <v>467</v>
      </c>
      <c r="J78" s="20" t="s">
        <v>47</v>
      </c>
      <c r="K78" s="20" t="s">
        <v>47</v>
      </c>
      <c r="L78" s="45" t="s">
        <v>829</v>
      </c>
      <c r="M78" s="45" t="s">
        <v>830</v>
      </c>
      <c r="N78" s="59">
        <v>106</v>
      </c>
      <c r="O78" s="59" t="s">
        <v>833</v>
      </c>
      <c r="P78" s="59" t="s">
        <v>837</v>
      </c>
      <c r="Q78" s="59">
        <v>358</v>
      </c>
      <c r="R78" s="45" t="s">
        <v>835</v>
      </c>
      <c r="S78" s="45" t="s">
        <v>838</v>
      </c>
      <c r="T78" s="45">
        <v>42</v>
      </c>
      <c r="U78" s="45"/>
      <c r="V78" s="45"/>
      <c r="W78" s="45"/>
    </row>
    <row r="79" spans="2:33" s="7" customFormat="1" ht="51" hidden="1" x14ac:dyDescent="0.25">
      <c r="B79" s="20" t="s">
        <v>272</v>
      </c>
      <c r="C79" s="20" t="s">
        <v>639</v>
      </c>
      <c r="D79" s="20" t="s">
        <v>273</v>
      </c>
      <c r="E79" s="20" t="s">
        <v>631</v>
      </c>
      <c r="F79" s="20" t="s">
        <v>627</v>
      </c>
      <c r="G79" s="20" t="s">
        <v>516</v>
      </c>
      <c r="H79" s="20" t="s">
        <v>628</v>
      </c>
      <c r="I79" s="20" t="s">
        <v>467</v>
      </c>
      <c r="J79" s="20" t="s">
        <v>468</v>
      </c>
      <c r="K79" s="20" t="s">
        <v>47</v>
      </c>
      <c r="L79" s="45" t="s">
        <v>827</v>
      </c>
      <c r="M79" s="45" t="s">
        <v>828</v>
      </c>
      <c r="N79" s="45">
        <v>19.600000000000001</v>
      </c>
      <c r="O79" s="45"/>
      <c r="P79" s="45"/>
      <c r="Q79" s="45"/>
      <c r="R79" s="45"/>
      <c r="S79" s="45"/>
      <c r="T79" s="45"/>
      <c r="U79" s="45"/>
      <c r="V79" s="45"/>
      <c r="W79" s="45"/>
    </row>
    <row r="80" spans="2:33" s="7" customFormat="1" ht="165.75" hidden="1" x14ac:dyDescent="0.25">
      <c r="B80" s="20" t="s">
        <v>274</v>
      </c>
      <c r="C80" s="20" t="s">
        <v>976</v>
      </c>
      <c r="D80" s="20" t="s">
        <v>275</v>
      </c>
      <c r="E80" s="20" t="s">
        <v>632</v>
      </c>
      <c r="F80" s="20" t="s">
        <v>627</v>
      </c>
      <c r="G80" s="20" t="s">
        <v>470</v>
      </c>
      <c r="H80" s="20" t="s">
        <v>628</v>
      </c>
      <c r="I80" s="20" t="s">
        <v>467</v>
      </c>
      <c r="J80" s="20" t="s">
        <v>47</v>
      </c>
      <c r="K80" s="20" t="s">
        <v>47</v>
      </c>
      <c r="L80" s="45" t="s">
        <v>829</v>
      </c>
      <c r="M80" s="45" t="s">
        <v>830</v>
      </c>
      <c r="N80" s="45">
        <v>328</v>
      </c>
      <c r="O80" s="45" t="s">
        <v>833</v>
      </c>
      <c r="P80" s="45" t="s">
        <v>837</v>
      </c>
      <c r="Q80" s="45">
        <v>273</v>
      </c>
      <c r="R80" s="45" t="s">
        <v>835</v>
      </c>
      <c r="S80" s="45" t="s">
        <v>838</v>
      </c>
      <c r="T80" s="45">
        <v>350</v>
      </c>
      <c r="U80" s="45" t="s">
        <v>827</v>
      </c>
      <c r="V80" s="45" t="s">
        <v>828</v>
      </c>
      <c r="W80" s="45">
        <v>0.31</v>
      </c>
    </row>
    <row r="81" spans="2:26" s="7" customFormat="1" ht="165.75" hidden="1" x14ac:dyDescent="0.25">
      <c r="B81" s="20" t="s">
        <v>276</v>
      </c>
      <c r="C81" s="20" t="s">
        <v>977</v>
      </c>
      <c r="D81" s="20" t="s">
        <v>633</v>
      </c>
      <c r="E81" s="20" t="s">
        <v>634</v>
      </c>
      <c r="F81" s="20" t="s">
        <v>627</v>
      </c>
      <c r="G81" s="20" t="s">
        <v>479</v>
      </c>
      <c r="H81" s="20" t="s">
        <v>628</v>
      </c>
      <c r="I81" s="20" t="s">
        <v>467</v>
      </c>
      <c r="J81" s="20" t="s">
        <v>47</v>
      </c>
      <c r="K81" s="20" t="s">
        <v>47</v>
      </c>
      <c r="L81" s="45" t="s">
        <v>829</v>
      </c>
      <c r="M81" s="45" t="s">
        <v>830</v>
      </c>
      <c r="N81" s="45">
        <v>20</v>
      </c>
      <c r="O81" s="45" t="s">
        <v>833</v>
      </c>
      <c r="P81" s="45" t="s">
        <v>837</v>
      </c>
      <c r="Q81" s="45">
        <v>117</v>
      </c>
      <c r="R81" s="45" t="s">
        <v>835</v>
      </c>
      <c r="S81" s="45" t="s">
        <v>838</v>
      </c>
      <c r="T81" s="45">
        <v>194</v>
      </c>
      <c r="U81" s="45" t="s">
        <v>827</v>
      </c>
      <c r="V81" s="45" t="s">
        <v>828</v>
      </c>
      <c r="W81" s="45">
        <v>2.5</v>
      </c>
    </row>
    <row r="82" spans="2:26" s="7" customFormat="1" ht="140.25" hidden="1" x14ac:dyDescent="0.25">
      <c r="B82" s="20" t="s">
        <v>278</v>
      </c>
      <c r="C82" s="20" t="s">
        <v>970</v>
      </c>
      <c r="D82" s="78" t="s">
        <v>980</v>
      </c>
      <c r="E82" s="20" t="s">
        <v>635</v>
      </c>
      <c r="F82" s="20" t="s">
        <v>627</v>
      </c>
      <c r="G82" s="20" t="s">
        <v>553</v>
      </c>
      <c r="H82" s="20" t="s">
        <v>628</v>
      </c>
      <c r="I82" s="20" t="s">
        <v>467</v>
      </c>
      <c r="J82" s="20" t="s">
        <v>47</v>
      </c>
      <c r="K82" s="20" t="s">
        <v>47</v>
      </c>
      <c r="L82" s="45" t="s">
        <v>829</v>
      </c>
      <c r="M82" s="45" t="s">
        <v>839</v>
      </c>
      <c r="N82" s="45">
        <v>544</v>
      </c>
      <c r="O82" s="45" t="s">
        <v>833</v>
      </c>
      <c r="P82" s="45" t="s">
        <v>840</v>
      </c>
      <c r="Q82" s="45">
        <v>634</v>
      </c>
      <c r="R82" s="45"/>
      <c r="S82" s="45"/>
      <c r="T82" s="45"/>
      <c r="U82" s="45"/>
      <c r="V82" s="45"/>
      <c r="W82" s="45"/>
    </row>
    <row r="83" spans="2:26" s="7" customFormat="1" ht="102.75" hidden="1" customHeight="1" x14ac:dyDescent="0.25">
      <c r="B83" s="78" t="s">
        <v>981</v>
      </c>
      <c r="C83" s="78" t="s">
        <v>982</v>
      </c>
      <c r="D83" s="78" t="s">
        <v>983</v>
      </c>
      <c r="E83" s="78" t="s">
        <v>984</v>
      </c>
      <c r="F83" s="78" t="s">
        <v>627</v>
      </c>
      <c r="G83" s="78" t="s">
        <v>543</v>
      </c>
      <c r="H83" s="78" t="s">
        <v>628</v>
      </c>
      <c r="I83" s="78" t="s">
        <v>467</v>
      </c>
      <c r="J83" s="78" t="s">
        <v>47</v>
      </c>
      <c r="K83" s="78" t="s">
        <v>47</v>
      </c>
      <c r="L83" s="59" t="s">
        <v>827</v>
      </c>
      <c r="M83" s="59" t="s">
        <v>828</v>
      </c>
      <c r="N83" s="59">
        <v>0.93</v>
      </c>
      <c r="O83" s="59"/>
      <c r="P83" s="59"/>
      <c r="Q83" s="59"/>
      <c r="R83" s="59"/>
      <c r="S83" s="59"/>
      <c r="T83" s="59"/>
      <c r="U83" s="59"/>
      <c r="V83" s="59"/>
      <c r="W83" s="59"/>
    </row>
    <row r="84" spans="2:26" s="7" customFormat="1" ht="189.75" hidden="1" customHeight="1" x14ac:dyDescent="0.25">
      <c r="B84" s="78" t="s">
        <v>985</v>
      </c>
      <c r="C84" s="78" t="s">
        <v>986</v>
      </c>
      <c r="D84" s="78" t="s">
        <v>987</v>
      </c>
      <c r="E84" s="78" t="s">
        <v>635</v>
      </c>
      <c r="F84" s="78" t="s">
        <v>627</v>
      </c>
      <c r="G84" s="78" t="s">
        <v>553</v>
      </c>
      <c r="H84" s="78" t="s">
        <v>628</v>
      </c>
      <c r="I84" s="78" t="s">
        <v>467</v>
      </c>
      <c r="J84" s="78" t="s">
        <v>47</v>
      </c>
      <c r="K84" s="78" t="s">
        <v>47</v>
      </c>
      <c r="L84" s="59" t="s">
        <v>829</v>
      </c>
      <c r="M84" s="59" t="s">
        <v>830</v>
      </c>
      <c r="N84" s="59">
        <v>170</v>
      </c>
      <c r="O84" s="59" t="s">
        <v>831</v>
      </c>
      <c r="P84" s="59" t="s">
        <v>832</v>
      </c>
      <c r="Q84" s="59">
        <v>170</v>
      </c>
      <c r="R84" s="59" t="s">
        <v>833</v>
      </c>
      <c r="S84" s="59" t="s">
        <v>834</v>
      </c>
      <c r="T84" s="59">
        <v>170</v>
      </c>
      <c r="U84" s="59" t="s">
        <v>835</v>
      </c>
      <c r="V84" s="59" t="s">
        <v>836</v>
      </c>
      <c r="W84" s="59">
        <v>170</v>
      </c>
      <c r="X84" s="6"/>
      <c r="Y84" s="96"/>
      <c r="Z84" s="96"/>
    </row>
    <row r="85" spans="2:26" s="112" customFormat="1" ht="126.75" customHeight="1" x14ac:dyDescent="0.25">
      <c r="B85" s="68" t="s">
        <v>988</v>
      </c>
      <c r="C85" s="68" t="s">
        <v>989</v>
      </c>
      <c r="D85" s="68" t="s">
        <v>990</v>
      </c>
      <c r="E85" s="68" t="s">
        <v>632</v>
      </c>
      <c r="F85" s="68" t="s">
        <v>627</v>
      </c>
      <c r="G85" s="68" t="s">
        <v>470</v>
      </c>
      <c r="H85" s="68" t="s">
        <v>628</v>
      </c>
      <c r="I85" s="68" t="s">
        <v>467</v>
      </c>
      <c r="J85" s="68" t="s">
        <v>47</v>
      </c>
      <c r="K85" s="68" t="s">
        <v>47</v>
      </c>
      <c r="L85" s="115" t="s">
        <v>829</v>
      </c>
      <c r="M85" s="115" t="s">
        <v>830</v>
      </c>
      <c r="N85" s="115">
        <v>288</v>
      </c>
      <c r="O85" s="115" t="s">
        <v>833</v>
      </c>
      <c r="P85" s="115" t="s">
        <v>834</v>
      </c>
      <c r="Q85" s="115">
        <v>288</v>
      </c>
      <c r="R85" s="115"/>
      <c r="S85" s="115"/>
      <c r="T85" s="115"/>
      <c r="U85" s="115"/>
      <c r="V85" s="115"/>
      <c r="W85" s="115"/>
      <c r="X85" s="132"/>
      <c r="Y85" s="133"/>
      <c r="Z85" s="133"/>
    </row>
    <row r="86" spans="2:26" s="112" customFormat="1" ht="186" customHeight="1" x14ac:dyDescent="0.25">
      <c r="B86" s="68" t="s">
        <v>992</v>
      </c>
      <c r="C86" s="68" t="s">
        <v>993</v>
      </c>
      <c r="D86" s="68" t="s">
        <v>991</v>
      </c>
      <c r="E86" s="68" t="s">
        <v>630</v>
      </c>
      <c r="F86" s="68" t="s">
        <v>627</v>
      </c>
      <c r="G86" s="68" t="s">
        <v>551</v>
      </c>
      <c r="H86" s="68" t="s">
        <v>628</v>
      </c>
      <c r="I86" s="68" t="s">
        <v>467</v>
      </c>
      <c r="J86" s="68" t="s">
        <v>47</v>
      </c>
      <c r="K86" s="68" t="s">
        <v>47</v>
      </c>
      <c r="L86" s="115" t="s">
        <v>829</v>
      </c>
      <c r="M86" s="115" t="s">
        <v>830</v>
      </c>
      <c r="N86" s="115">
        <v>46</v>
      </c>
      <c r="O86" s="115" t="s">
        <v>833</v>
      </c>
      <c r="P86" s="115" t="s">
        <v>834</v>
      </c>
      <c r="Q86" s="115">
        <v>99</v>
      </c>
      <c r="R86" s="115" t="s">
        <v>835</v>
      </c>
      <c r="S86" s="115" t="s">
        <v>836</v>
      </c>
      <c r="T86" s="115">
        <v>66</v>
      </c>
      <c r="U86" s="115"/>
      <c r="V86" s="115"/>
      <c r="W86" s="115"/>
      <c r="X86" s="132"/>
      <c r="Y86" s="133"/>
      <c r="Z86" s="133"/>
    </row>
    <row r="87" spans="2:26" s="7" customFormat="1" ht="38.25" hidden="1" x14ac:dyDescent="0.25">
      <c r="B87" s="30" t="s">
        <v>279</v>
      </c>
      <c r="C87" s="30"/>
      <c r="D87" s="30" t="s">
        <v>280</v>
      </c>
      <c r="E87" s="30"/>
      <c r="F87" s="30"/>
      <c r="G87" s="30"/>
      <c r="H87" s="30"/>
      <c r="I87" s="30"/>
      <c r="J87" s="30"/>
      <c r="K87" s="30"/>
      <c r="L87" s="30"/>
      <c r="M87" s="30"/>
      <c r="N87" s="30"/>
      <c r="O87" s="30"/>
      <c r="P87" s="30"/>
      <c r="Q87" s="30"/>
      <c r="R87" s="30"/>
      <c r="S87" s="30"/>
      <c r="T87" s="30"/>
      <c r="U87" s="30"/>
      <c r="V87" s="30"/>
      <c r="W87" s="30"/>
    </row>
    <row r="88" spans="2:26" s="7" customFormat="1" ht="104.25" hidden="1" customHeight="1" x14ac:dyDescent="0.25">
      <c r="B88" s="20" t="s">
        <v>281</v>
      </c>
      <c r="C88" s="20" t="s">
        <v>644</v>
      </c>
      <c r="D88" s="20" t="s">
        <v>282</v>
      </c>
      <c r="E88" s="20" t="s">
        <v>640</v>
      </c>
      <c r="F88" s="20" t="s">
        <v>627</v>
      </c>
      <c r="G88" s="20" t="s">
        <v>520</v>
      </c>
      <c r="H88" s="20" t="s">
        <v>641</v>
      </c>
      <c r="I88" s="20" t="s">
        <v>467</v>
      </c>
      <c r="J88" s="20" t="s">
        <v>47</v>
      </c>
      <c r="K88" s="20" t="s">
        <v>47</v>
      </c>
      <c r="L88" s="45" t="s">
        <v>841</v>
      </c>
      <c r="M88" s="45" t="s">
        <v>842</v>
      </c>
      <c r="N88" s="45">
        <v>52.58</v>
      </c>
      <c r="O88" s="45" t="s">
        <v>843</v>
      </c>
      <c r="P88" s="45" t="s">
        <v>844</v>
      </c>
      <c r="Q88" s="45">
        <v>20.25</v>
      </c>
      <c r="R88" s="45"/>
      <c r="S88" s="45"/>
      <c r="T88" s="45"/>
      <c r="U88" s="45"/>
      <c r="V88" s="45"/>
      <c r="W88" s="45"/>
    </row>
    <row r="89" spans="2:26" s="7" customFormat="1" ht="103.5" hidden="1" customHeight="1" x14ac:dyDescent="0.25">
      <c r="B89" s="20" t="s">
        <v>283</v>
      </c>
      <c r="C89" s="20" t="s">
        <v>645</v>
      </c>
      <c r="D89" s="20" t="s">
        <v>284</v>
      </c>
      <c r="E89" s="20" t="s">
        <v>642</v>
      </c>
      <c r="F89" s="20" t="s">
        <v>627</v>
      </c>
      <c r="G89" s="20" t="s">
        <v>555</v>
      </c>
      <c r="H89" s="20" t="s">
        <v>643</v>
      </c>
      <c r="I89" s="20" t="s">
        <v>467</v>
      </c>
      <c r="J89" s="20" t="s">
        <v>468</v>
      </c>
      <c r="K89" s="20" t="s">
        <v>47</v>
      </c>
      <c r="L89" s="45" t="s">
        <v>841</v>
      </c>
      <c r="M89" s="45" t="s">
        <v>845</v>
      </c>
      <c r="N89" s="45">
        <v>71.92</v>
      </c>
      <c r="O89" s="45"/>
      <c r="P89" s="45"/>
      <c r="Q89" s="45"/>
      <c r="R89" s="45"/>
      <c r="S89" s="45"/>
      <c r="T89" s="45"/>
      <c r="U89" s="45"/>
      <c r="V89" s="45"/>
      <c r="W89" s="45"/>
    </row>
    <row r="90" spans="2:26" s="7" customFormat="1" ht="63.75" hidden="1" x14ac:dyDescent="0.25">
      <c r="B90" s="30" t="s">
        <v>285</v>
      </c>
      <c r="C90" s="30"/>
      <c r="D90" s="30" t="s">
        <v>286</v>
      </c>
      <c r="E90" s="30"/>
      <c r="F90" s="30"/>
      <c r="G90" s="30"/>
      <c r="H90" s="30"/>
      <c r="I90" s="30"/>
      <c r="J90" s="30"/>
      <c r="K90" s="30"/>
      <c r="L90" s="50"/>
      <c r="M90" s="50"/>
      <c r="N90" s="50"/>
      <c r="O90" s="50"/>
      <c r="P90" s="50"/>
      <c r="Q90" s="50"/>
      <c r="R90" s="50"/>
      <c r="S90" s="50"/>
      <c r="T90" s="50"/>
      <c r="U90" s="50"/>
      <c r="V90" s="50"/>
      <c r="W90" s="50"/>
    </row>
    <row r="91" spans="2:26" s="7" customFormat="1" ht="77.25" hidden="1" customHeight="1" x14ac:dyDescent="0.25">
      <c r="B91" s="20" t="s">
        <v>287</v>
      </c>
      <c r="C91" s="20" t="s">
        <v>655</v>
      </c>
      <c r="D91" s="20" t="s">
        <v>288</v>
      </c>
      <c r="E91" s="20" t="s">
        <v>515</v>
      </c>
      <c r="F91" s="20" t="s">
        <v>627</v>
      </c>
      <c r="G91" s="20" t="s">
        <v>516</v>
      </c>
      <c r="H91" s="20" t="s">
        <v>646</v>
      </c>
      <c r="I91" s="20" t="s">
        <v>467</v>
      </c>
      <c r="J91" s="20" t="s">
        <v>47</v>
      </c>
      <c r="K91" s="20" t="s">
        <v>47</v>
      </c>
      <c r="L91" s="45" t="s">
        <v>846</v>
      </c>
      <c r="M91" s="45" t="s">
        <v>847</v>
      </c>
      <c r="N91" s="45">
        <v>1082</v>
      </c>
      <c r="O91" s="45"/>
      <c r="P91" s="45"/>
      <c r="Q91" s="45"/>
      <c r="R91" s="45"/>
      <c r="S91" s="45"/>
      <c r="T91" s="45"/>
      <c r="U91" s="45"/>
      <c r="V91" s="45"/>
      <c r="W91" s="45"/>
    </row>
    <row r="92" spans="2:26" s="7" customFormat="1" ht="123" hidden="1" customHeight="1" x14ac:dyDescent="0.25">
      <c r="B92" s="20" t="s">
        <v>289</v>
      </c>
      <c r="C92" s="20" t="s">
        <v>656</v>
      </c>
      <c r="D92" s="20" t="s">
        <v>290</v>
      </c>
      <c r="E92" s="20" t="s">
        <v>647</v>
      </c>
      <c r="F92" s="20" t="s">
        <v>627</v>
      </c>
      <c r="G92" s="20" t="s">
        <v>513</v>
      </c>
      <c r="H92" s="20" t="s">
        <v>648</v>
      </c>
      <c r="I92" s="20" t="s">
        <v>467</v>
      </c>
      <c r="J92" s="20" t="s">
        <v>47</v>
      </c>
      <c r="K92" s="20" t="s">
        <v>47</v>
      </c>
      <c r="L92" s="45" t="s">
        <v>846</v>
      </c>
      <c r="M92" s="45" t="s">
        <v>848</v>
      </c>
      <c r="N92" s="45">
        <v>729</v>
      </c>
      <c r="O92" s="45"/>
      <c r="P92" s="45"/>
      <c r="Q92" s="45"/>
      <c r="R92" s="45"/>
      <c r="S92" s="45"/>
      <c r="T92" s="45"/>
      <c r="U92" s="45"/>
      <c r="V92" s="45"/>
      <c r="W92" s="45"/>
    </row>
    <row r="93" spans="2:26" s="7" customFormat="1" ht="127.5" hidden="1" x14ac:dyDescent="0.25">
      <c r="B93" s="20" t="s">
        <v>291</v>
      </c>
      <c r="C93" s="20" t="s">
        <v>657</v>
      </c>
      <c r="D93" s="20" t="s">
        <v>292</v>
      </c>
      <c r="E93" s="20" t="s">
        <v>649</v>
      </c>
      <c r="F93" s="20" t="s">
        <v>627</v>
      </c>
      <c r="G93" s="20" t="s">
        <v>465</v>
      </c>
      <c r="H93" s="20" t="s">
        <v>646</v>
      </c>
      <c r="I93" s="20" t="s">
        <v>467</v>
      </c>
      <c r="J93" s="20" t="s">
        <v>47</v>
      </c>
      <c r="K93" s="20" t="s">
        <v>47</v>
      </c>
      <c r="L93" s="45" t="s">
        <v>846</v>
      </c>
      <c r="M93" s="45" t="s">
        <v>849</v>
      </c>
      <c r="N93" s="45">
        <v>1113</v>
      </c>
      <c r="O93" s="45"/>
      <c r="P93" s="45"/>
      <c r="Q93" s="45"/>
      <c r="R93" s="45"/>
      <c r="S93" s="45"/>
      <c r="T93" s="45"/>
      <c r="U93" s="45"/>
      <c r="V93" s="45"/>
      <c r="W93" s="45"/>
    </row>
    <row r="94" spans="2:26" s="7" customFormat="1" ht="127.5" hidden="1" x14ac:dyDescent="0.25">
      <c r="B94" s="20" t="s">
        <v>293</v>
      </c>
      <c r="C94" s="20" t="s">
        <v>658</v>
      </c>
      <c r="D94" s="20" t="s">
        <v>294</v>
      </c>
      <c r="E94" s="20" t="s">
        <v>650</v>
      </c>
      <c r="F94" s="20" t="s">
        <v>627</v>
      </c>
      <c r="G94" s="20" t="s">
        <v>479</v>
      </c>
      <c r="H94" s="20" t="s">
        <v>646</v>
      </c>
      <c r="I94" s="20" t="s">
        <v>467</v>
      </c>
      <c r="J94" s="20" t="s">
        <v>47</v>
      </c>
      <c r="K94" s="20" t="s">
        <v>47</v>
      </c>
      <c r="L94" s="45" t="s">
        <v>846</v>
      </c>
      <c r="M94" s="45" t="s">
        <v>849</v>
      </c>
      <c r="N94" s="45">
        <v>984</v>
      </c>
      <c r="O94" s="45"/>
      <c r="P94" s="45"/>
      <c r="Q94" s="45"/>
      <c r="R94" s="45"/>
      <c r="S94" s="45"/>
      <c r="T94" s="45"/>
      <c r="U94" s="45"/>
      <c r="V94" s="45"/>
      <c r="W94" s="45"/>
    </row>
    <row r="95" spans="2:26" s="7" customFormat="1" ht="114.75" hidden="1" customHeight="1" x14ac:dyDescent="0.25">
      <c r="B95" s="20" t="s">
        <v>295</v>
      </c>
      <c r="C95" s="20" t="s">
        <v>659</v>
      </c>
      <c r="D95" s="20" t="s">
        <v>296</v>
      </c>
      <c r="E95" s="20" t="s">
        <v>651</v>
      </c>
      <c r="F95" s="20" t="s">
        <v>627</v>
      </c>
      <c r="G95" s="20" t="s">
        <v>551</v>
      </c>
      <c r="H95" s="20" t="s">
        <v>646</v>
      </c>
      <c r="I95" s="20" t="s">
        <v>467</v>
      </c>
      <c r="J95" s="20" t="s">
        <v>47</v>
      </c>
      <c r="K95" s="20" t="s">
        <v>47</v>
      </c>
      <c r="L95" s="45" t="s">
        <v>846</v>
      </c>
      <c r="M95" s="45" t="s">
        <v>847</v>
      </c>
      <c r="N95" s="45">
        <v>1038</v>
      </c>
      <c r="O95" s="45"/>
      <c r="P95" s="45"/>
      <c r="Q95" s="45"/>
      <c r="R95" s="45"/>
      <c r="S95" s="45"/>
      <c r="T95" s="45"/>
      <c r="U95" s="45"/>
      <c r="V95" s="45"/>
      <c r="W95" s="45"/>
    </row>
    <row r="96" spans="2:26" s="7" customFormat="1" ht="79.5" hidden="1" customHeight="1" x14ac:dyDescent="0.25">
      <c r="B96" s="20" t="s">
        <v>297</v>
      </c>
      <c r="C96" s="20" t="s">
        <v>660</v>
      </c>
      <c r="D96" s="20" t="s">
        <v>298</v>
      </c>
      <c r="E96" s="20" t="s">
        <v>519</v>
      </c>
      <c r="F96" s="20" t="s">
        <v>652</v>
      </c>
      <c r="G96" s="20" t="s">
        <v>553</v>
      </c>
      <c r="H96" s="20" t="s">
        <v>646</v>
      </c>
      <c r="I96" s="20" t="s">
        <v>467</v>
      </c>
      <c r="J96" s="20" t="s">
        <v>47</v>
      </c>
      <c r="K96" s="20" t="s">
        <v>47</v>
      </c>
      <c r="L96" s="45" t="s">
        <v>846</v>
      </c>
      <c r="M96" s="45" t="s">
        <v>850</v>
      </c>
      <c r="N96" s="45">
        <v>1123</v>
      </c>
      <c r="O96" s="45"/>
      <c r="P96" s="45"/>
      <c r="Q96" s="45"/>
      <c r="R96" s="45"/>
      <c r="S96" s="45"/>
      <c r="T96" s="45"/>
      <c r="U96" s="45"/>
      <c r="V96" s="45"/>
      <c r="W96" s="45"/>
    </row>
    <row r="97" spans="2:26" s="7" customFormat="1" ht="38.25" x14ac:dyDescent="0.25">
      <c r="B97" s="30" t="s">
        <v>302</v>
      </c>
      <c r="C97" s="30"/>
      <c r="D97" s="30" t="s">
        <v>303</v>
      </c>
      <c r="E97" s="30"/>
      <c r="F97" s="30"/>
      <c r="G97" s="30"/>
      <c r="H97" s="30"/>
      <c r="I97" s="30"/>
      <c r="J97" s="30"/>
      <c r="K97" s="30"/>
      <c r="L97" s="50"/>
      <c r="M97" s="50"/>
      <c r="N97" s="50"/>
      <c r="O97" s="50"/>
      <c r="P97" s="50"/>
      <c r="Q97" s="50"/>
      <c r="R97" s="50"/>
      <c r="S97" s="50"/>
      <c r="T97" s="50"/>
      <c r="U97" s="50"/>
      <c r="V97" s="50"/>
      <c r="W97" s="50"/>
    </row>
    <row r="98" spans="2:26" s="112" customFormat="1" ht="98.25" hidden="1" customHeight="1" x14ac:dyDescent="0.25">
      <c r="B98" s="32" t="s">
        <v>304</v>
      </c>
      <c r="C98" s="32" t="s">
        <v>667</v>
      </c>
      <c r="D98" s="32" t="s">
        <v>305</v>
      </c>
      <c r="E98" s="32" t="s">
        <v>550</v>
      </c>
      <c r="F98" s="32" t="s">
        <v>627</v>
      </c>
      <c r="G98" s="32" t="s">
        <v>551</v>
      </c>
      <c r="H98" s="32" t="s">
        <v>661</v>
      </c>
      <c r="I98" s="32" t="s">
        <v>467</v>
      </c>
      <c r="J98" s="32" t="s">
        <v>47</v>
      </c>
      <c r="K98" s="32" t="s">
        <v>47</v>
      </c>
      <c r="L98" s="53" t="s">
        <v>851</v>
      </c>
      <c r="M98" s="53" t="s">
        <v>852</v>
      </c>
      <c r="N98" s="53">
        <v>2</v>
      </c>
      <c r="O98" s="53"/>
      <c r="P98" s="53"/>
      <c r="Q98" s="53"/>
      <c r="R98" s="53"/>
      <c r="S98" s="53"/>
      <c r="T98" s="53"/>
      <c r="U98" s="53"/>
      <c r="V98" s="53"/>
      <c r="W98" s="53"/>
    </row>
    <row r="99" spans="2:26" s="112" customFormat="1" ht="89.25" hidden="1" x14ac:dyDescent="0.25">
      <c r="B99" s="32" t="s">
        <v>306</v>
      </c>
      <c r="C99" s="32" t="s">
        <v>668</v>
      </c>
      <c r="D99" s="32" t="s">
        <v>307</v>
      </c>
      <c r="E99" s="32" t="s">
        <v>478</v>
      </c>
      <c r="F99" s="32" t="s">
        <v>627</v>
      </c>
      <c r="G99" s="32" t="s">
        <v>479</v>
      </c>
      <c r="H99" s="32" t="s">
        <v>662</v>
      </c>
      <c r="I99" s="32" t="s">
        <v>467</v>
      </c>
      <c r="J99" s="32"/>
      <c r="K99" s="32"/>
      <c r="L99" s="53" t="s">
        <v>853</v>
      </c>
      <c r="M99" s="53" t="s">
        <v>854</v>
      </c>
      <c r="N99" s="53">
        <v>29</v>
      </c>
      <c r="O99" s="53" t="s">
        <v>855</v>
      </c>
      <c r="P99" s="53" t="s">
        <v>856</v>
      </c>
      <c r="Q99" s="53">
        <v>2.2799999999999998</v>
      </c>
      <c r="R99" s="53"/>
      <c r="S99" s="53"/>
      <c r="T99" s="53"/>
      <c r="U99" s="53"/>
      <c r="V99" s="53"/>
      <c r="W99" s="53"/>
    </row>
    <row r="100" spans="2:26" s="112" customFormat="1" ht="90" hidden="1" customHeight="1" x14ac:dyDescent="0.25">
      <c r="B100" s="32" t="s">
        <v>308</v>
      </c>
      <c r="C100" s="32" t="s">
        <v>669</v>
      </c>
      <c r="D100" s="32" t="s">
        <v>309</v>
      </c>
      <c r="E100" s="32" t="s">
        <v>550</v>
      </c>
      <c r="F100" s="32" t="s">
        <v>627</v>
      </c>
      <c r="G100" s="32" t="s">
        <v>551</v>
      </c>
      <c r="H100" s="32" t="s">
        <v>661</v>
      </c>
      <c r="I100" s="32" t="s">
        <v>467</v>
      </c>
      <c r="J100" s="32" t="s">
        <v>47</v>
      </c>
      <c r="K100" s="32" t="s">
        <v>47</v>
      </c>
      <c r="L100" s="53" t="s">
        <v>857</v>
      </c>
      <c r="M100" s="53" t="s">
        <v>858</v>
      </c>
      <c r="N100" s="53">
        <v>3</v>
      </c>
      <c r="O100" s="53" t="s">
        <v>855</v>
      </c>
      <c r="P100" s="53" t="s">
        <v>856</v>
      </c>
      <c r="Q100" s="53">
        <v>28.9</v>
      </c>
      <c r="R100" s="53"/>
      <c r="S100" s="53"/>
      <c r="T100" s="53"/>
      <c r="U100" s="53"/>
      <c r="V100" s="53"/>
      <c r="W100" s="53"/>
    </row>
    <row r="101" spans="2:26" s="112" customFormat="1" ht="87" hidden="1" customHeight="1" x14ac:dyDescent="0.25">
      <c r="B101" s="32" t="s">
        <v>310</v>
      </c>
      <c r="C101" s="32" t="s">
        <v>670</v>
      </c>
      <c r="D101" s="32" t="s">
        <v>311</v>
      </c>
      <c r="E101" s="32" t="s">
        <v>519</v>
      </c>
      <c r="F101" s="32" t="s">
        <v>627</v>
      </c>
      <c r="G101" s="32" t="s">
        <v>553</v>
      </c>
      <c r="H101" s="32" t="s">
        <v>662</v>
      </c>
      <c r="I101" s="32" t="s">
        <v>467</v>
      </c>
      <c r="J101" s="32"/>
      <c r="K101" s="32"/>
      <c r="L101" s="53" t="s">
        <v>857</v>
      </c>
      <c r="M101" s="53" t="s">
        <v>859</v>
      </c>
      <c r="N101" s="53">
        <v>1</v>
      </c>
      <c r="O101" s="53" t="s">
        <v>855</v>
      </c>
      <c r="P101" s="53" t="s">
        <v>856</v>
      </c>
      <c r="Q101" s="53">
        <v>30</v>
      </c>
      <c r="R101" s="53"/>
      <c r="S101" s="53"/>
      <c r="T101" s="53"/>
      <c r="U101" s="53"/>
      <c r="V101" s="53"/>
      <c r="W101" s="53"/>
    </row>
    <row r="102" spans="2:26" s="112" customFormat="1" ht="105" hidden="1" customHeight="1" x14ac:dyDescent="0.25">
      <c r="B102" s="32" t="s">
        <v>312</v>
      </c>
      <c r="C102" s="32" t="s">
        <v>671</v>
      </c>
      <c r="D102" s="32" t="s">
        <v>313</v>
      </c>
      <c r="E102" s="32" t="s">
        <v>463</v>
      </c>
      <c r="F102" s="32" t="s">
        <v>627</v>
      </c>
      <c r="G102" s="32" t="s">
        <v>470</v>
      </c>
      <c r="H102" s="32" t="s">
        <v>661</v>
      </c>
      <c r="I102" s="32" t="s">
        <v>467</v>
      </c>
      <c r="J102" s="32" t="s">
        <v>47</v>
      </c>
      <c r="K102" s="32" t="s">
        <v>47</v>
      </c>
      <c r="L102" s="53" t="s">
        <v>853</v>
      </c>
      <c r="M102" s="53" t="s">
        <v>978</v>
      </c>
      <c r="N102" s="115">
        <v>68</v>
      </c>
      <c r="O102" s="115" t="s">
        <v>855</v>
      </c>
      <c r="P102" s="115" t="s">
        <v>856</v>
      </c>
      <c r="Q102" s="115">
        <v>18.32</v>
      </c>
      <c r="R102" s="53"/>
      <c r="S102" s="53"/>
      <c r="T102" s="53"/>
      <c r="U102" s="53"/>
      <c r="V102" s="53"/>
      <c r="W102" s="53"/>
    </row>
    <row r="103" spans="2:26" s="112" customFormat="1" ht="89.25" x14ac:dyDescent="0.25">
      <c r="B103" s="68" t="s">
        <v>314</v>
      </c>
      <c r="C103" s="68" t="s">
        <v>672</v>
      </c>
      <c r="D103" s="68" t="s">
        <v>315</v>
      </c>
      <c r="E103" s="68" t="s">
        <v>463</v>
      </c>
      <c r="F103" s="68" t="s">
        <v>627</v>
      </c>
      <c r="G103" s="68" t="s">
        <v>470</v>
      </c>
      <c r="H103" s="68" t="s">
        <v>661</v>
      </c>
      <c r="I103" s="68" t="s">
        <v>467</v>
      </c>
      <c r="J103" s="68" t="s">
        <v>47</v>
      </c>
      <c r="K103" s="68" t="s">
        <v>47</v>
      </c>
      <c r="L103" s="115" t="s">
        <v>855</v>
      </c>
      <c r="M103" s="115" t="s">
        <v>856</v>
      </c>
      <c r="N103" s="140">
        <v>20.59</v>
      </c>
      <c r="O103" s="115" t="s">
        <v>853</v>
      </c>
      <c r="P103" s="115" t="s">
        <v>854</v>
      </c>
      <c r="Q103" s="115">
        <v>34</v>
      </c>
      <c r="R103" s="53"/>
      <c r="S103" s="53"/>
      <c r="T103" s="53"/>
      <c r="U103" s="53"/>
      <c r="V103" s="53"/>
      <c r="W103" s="53"/>
    </row>
    <row r="104" spans="2:26" s="7" customFormat="1" ht="102" hidden="1" x14ac:dyDescent="0.25">
      <c r="B104" s="20" t="s">
        <v>316</v>
      </c>
      <c r="C104" s="20" t="s">
        <v>673</v>
      </c>
      <c r="D104" s="20" t="s">
        <v>317</v>
      </c>
      <c r="E104" s="20" t="s">
        <v>515</v>
      </c>
      <c r="F104" s="20" t="s">
        <v>627</v>
      </c>
      <c r="G104" s="20" t="s">
        <v>470</v>
      </c>
      <c r="H104" s="20" t="s">
        <v>661</v>
      </c>
      <c r="I104" s="20" t="s">
        <v>467</v>
      </c>
      <c r="J104" s="20" t="s">
        <v>47</v>
      </c>
      <c r="K104" s="20" t="s">
        <v>47</v>
      </c>
      <c r="L104" s="45" t="s">
        <v>857</v>
      </c>
      <c r="M104" s="45" t="s">
        <v>859</v>
      </c>
      <c r="N104" s="45">
        <v>1</v>
      </c>
      <c r="O104" s="45" t="s">
        <v>855</v>
      </c>
      <c r="P104" s="45" t="s">
        <v>856</v>
      </c>
      <c r="Q104" s="45">
        <v>20</v>
      </c>
      <c r="R104" s="45"/>
      <c r="S104" s="45"/>
      <c r="T104" s="45"/>
      <c r="U104" s="45"/>
      <c r="V104" s="45"/>
      <c r="W104" s="45"/>
    </row>
    <row r="105" spans="2:26" s="7" customFormat="1" ht="114.75" hidden="1" x14ac:dyDescent="0.25">
      <c r="B105" s="20" t="s">
        <v>318</v>
      </c>
      <c r="C105" s="20" t="s">
        <v>674</v>
      </c>
      <c r="D105" s="20" t="s">
        <v>319</v>
      </c>
      <c r="E105" s="20" t="s">
        <v>519</v>
      </c>
      <c r="F105" s="20" t="s">
        <v>627</v>
      </c>
      <c r="G105" s="20" t="s">
        <v>470</v>
      </c>
      <c r="H105" s="20" t="s">
        <v>661</v>
      </c>
      <c r="I105" s="20" t="s">
        <v>467</v>
      </c>
      <c r="J105" s="20" t="s">
        <v>47</v>
      </c>
      <c r="K105" s="20" t="s">
        <v>47</v>
      </c>
      <c r="L105" s="45" t="s">
        <v>853</v>
      </c>
      <c r="M105" s="45" t="s">
        <v>854</v>
      </c>
      <c r="N105" s="45">
        <v>10</v>
      </c>
      <c r="O105" s="45" t="s">
        <v>855</v>
      </c>
      <c r="P105" s="45" t="s">
        <v>856</v>
      </c>
      <c r="Q105" s="45">
        <v>1</v>
      </c>
      <c r="R105" s="45"/>
      <c r="S105" s="45"/>
      <c r="T105" s="45"/>
      <c r="U105" s="45"/>
      <c r="V105" s="45"/>
      <c r="W105" s="45"/>
    </row>
    <row r="106" spans="2:26" s="7" customFormat="1" ht="173.25" hidden="1" customHeight="1" x14ac:dyDescent="0.25">
      <c r="B106" s="20" t="s">
        <v>320</v>
      </c>
      <c r="C106" s="20" t="s">
        <v>675</v>
      </c>
      <c r="D106" s="20" t="s">
        <v>321</v>
      </c>
      <c r="E106" s="20" t="s">
        <v>478</v>
      </c>
      <c r="F106" s="20" t="s">
        <v>627</v>
      </c>
      <c r="G106" s="20" t="s">
        <v>479</v>
      </c>
      <c r="H106" s="20" t="s">
        <v>662</v>
      </c>
      <c r="I106" s="20" t="s">
        <v>467</v>
      </c>
      <c r="J106" s="20" t="s">
        <v>47</v>
      </c>
      <c r="K106" s="20" t="s">
        <v>47</v>
      </c>
      <c r="L106" s="45" t="s">
        <v>853</v>
      </c>
      <c r="M106" s="45" t="s">
        <v>854</v>
      </c>
      <c r="N106" s="59">
        <v>21</v>
      </c>
      <c r="O106" s="45" t="s">
        <v>851</v>
      </c>
      <c r="P106" s="45" t="s">
        <v>852</v>
      </c>
      <c r="Q106" s="45">
        <v>1</v>
      </c>
      <c r="R106" s="45"/>
      <c r="S106" s="45"/>
      <c r="T106" s="45"/>
      <c r="U106" s="45"/>
      <c r="V106" s="45"/>
      <c r="W106" s="45"/>
    </row>
    <row r="107" spans="2:26" s="7" customFormat="1" ht="100.5" hidden="1" customHeight="1" x14ac:dyDescent="0.25">
      <c r="B107" s="20" t="s">
        <v>322</v>
      </c>
      <c r="C107" s="20" t="s">
        <v>676</v>
      </c>
      <c r="D107" s="20" t="s">
        <v>323</v>
      </c>
      <c r="E107" s="20" t="s">
        <v>512</v>
      </c>
      <c r="F107" s="20" t="s">
        <v>627</v>
      </c>
      <c r="G107" s="20" t="s">
        <v>479</v>
      </c>
      <c r="H107" s="20" t="s">
        <v>662</v>
      </c>
      <c r="I107" s="20" t="s">
        <v>467</v>
      </c>
      <c r="J107" s="20" t="s">
        <v>47</v>
      </c>
      <c r="K107" s="20" t="s">
        <v>47</v>
      </c>
      <c r="L107" s="45" t="s">
        <v>851</v>
      </c>
      <c r="M107" s="45" t="s">
        <v>852</v>
      </c>
      <c r="N107" s="45">
        <v>2</v>
      </c>
      <c r="O107" s="45" t="s">
        <v>857</v>
      </c>
      <c r="P107" s="45" t="s">
        <v>859</v>
      </c>
      <c r="Q107" s="45">
        <v>1</v>
      </c>
      <c r="R107" s="45" t="s">
        <v>855</v>
      </c>
      <c r="S107" s="45" t="s">
        <v>856</v>
      </c>
      <c r="T107" s="45">
        <v>10</v>
      </c>
      <c r="U107" s="45" t="s">
        <v>860</v>
      </c>
      <c r="V107" s="45" t="s">
        <v>861</v>
      </c>
      <c r="W107" s="45">
        <v>2</v>
      </c>
      <c r="X107" s="45" t="s">
        <v>853</v>
      </c>
      <c r="Y107" s="45" t="s">
        <v>854</v>
      </c>
      <c r="Z107" s="45">
        <v>8</v>
      </c>
    </row>
    <row r="108" spans="2:26" s="7" customFormat="1" ht="77.25" hidden="1" customHeight="1" x14ac:dyDescent="0.25">
      <c r="B108" s="33" t="s">
        <v>324</v>
      </c>
      <c r="C108" s="44"/>
      <c r="D108" s="33" t="s">
        <v>325</v>
      </c>
      <c r="E108" s="33"/>
      <c r="F108" s="33"/>
      <c r="G108" s="33"/>
      <c r="H108" s="44"/>
      <c r="I108" s="33"/>
      <c r="J108" s="33"/>
      <c r="K108" s="33"/>
      <c r="L108" s="51"/>
      <c r="M108" s="52"/>
      <c r="N108" s="51"/>
      <c r="O108" s="51"/>
      <c r="P108" s="51"/>
      <c r="Q108" s="51"/>
      <c r="R108" s="52"/>
      <c r="S108" s="51"/>
      <c r="T108" s="51"/>
      <c r="U108" s="51"/>
      <c r="V108" s="51"/>
      <c r="W108" s="52"/>
    </row>
    <row r="109" spans="2:26" s="7" customFormat="1" ht="63.75" hidden="1" x14ac:dyDescent="0.25">
      <c r="B109" s="13" t="s">
        <v>326</v>
      </c>
      <c r="C109" s="28"/>
      <c r="D109" s="28" t="s">
        <v>327</v>
      </c>
      <c r="E109" s="13"/>
      <c r="F109" s="28"/>
      <c r="G109" s="28"/>
      <c r="H109" s="13"/>
      <c r="I109" s="28"/>
      <c r="J109" s="28"/>
      <c r="K109" s="13"/>
      <c r="L109" s="48"/>
      <c r="M109" s="48"/>
      <c r="N109" s="49"/>
      <c r="O109" s="48"/>
      <c r="P109" s="48"/>
      <c r="Q109" s="49"/>
      <c r="R109" s="48"/>
      <c r="S109" s="48"/>
      <c r="T109" s="49"/>
      <c r="U109" s="48"/>
      <c r="V109" s="48"/>
      <c r="W109" s="49"/>
    </row>
    <row r="110" spans="2:26" s="7" customFormat="1" ht="140.25" hidden="1" x14ac:dyDescent="0.25">
      <c r="B110" s="30" t="s">
        <v>328</v>
      </c>
      <c r="C110" s="30"/>
      <c r="D110" s="30" t="s">
        <v>329</v>
      </c>
      <c r="E110" s="30"/>
      <c r="F110" s="30"/>
      <c r="G110" s="30"/>
      <c r="H110" s="30"/>
      <c r="I110" s="30"/>
      <c r="J110" s="30"/>
      <c r="K110" s="30"/>
      <c r="L110" s="50"/>
      <c r="M110" s="50"/>
      <c r="N110" s="50"/>
      <c r="O110" s="50"/>
      <c r="P110" s="50"/>
      <c r="Q110" s="50"/>
      <c r="R110" s="50"/>
      <c r="S110" s="50"/>
      <c r="T110" s="50"/>
      <c r="U110" s="50"/>
      <c r="V110" s="50"/>
      <c r="W110" s="50"/>
    </row>
    <row r="111" spans="2:26" s="7" customFormat="1" ht="114.75" hidden="1" x14ac:dyDescent="0.25">
      <c r="B111" s="20" t="s">
        <v>330</v>
      </c>
      <c r="C111" s="20" t="s">
        <v>960</v>
      </c>
      <c r="D111" s="20" t="s">
        <v>677</v>
      </c>
      <c r="E111" s="20" t="s">
        <v>515</v>
      </c>
      <c r="F111" s="20" t="s">
        <v>619</v>
      </c>
      <c r="G111" s="20" t="s">
        <v>516</v>
      </c>
      <c r="H111" s="20" t="s">
        <v>959</v>
      </c>
      <c r="I111" s="20" t="s">
        <v>518</v>
      </c>
      <c r="J111" s="20" t="s">
        <v>468</v>
      </c>
      <c r="K111" s="20" t="s">
        <v>47</v>
      </c>
      <c r="L111" s="59" t="s">
        <v>962</v>
      </c>
      <c r="M111" s="59" t="s">
        <v>862</v>
      </c>
      <c r="N111" s="45">
        <v>9</v>
      </c>
      <c r="O111" s="45"/>
      <c r="P111" s="45"/>
      <c r="Q111" s="45"/>
      <c r="R111" s="45"/>
      <c r="S111" s="45"/>
      <c r="T111" s="45"/>
      <c r="U111" s="45"/>
      <c r="V111" s="45"/>
      <c r="W111" s="45"/>
    </row>
    <row r="112" spans="2:26" s="7" customFormat="1" ht="60" hidden="1" customHeight="1" x14ac:dyDescent="0.25">
      <c r="B112" s="13" t="s">
        <v>332</v>
      </c>
      <c r="C112" s="28"/>
      <c r="D112" s="28" t="s">
        <v>333</v>
      </c>
      <c r="E112" s="13"/>
      <c r="F112" s="13"/>
      <c r="G112" s="28"/>
      <c r="H112" s="28"/>
      <c r="I112" s="13"/>
      <c r="J112" s="13"/>
      <c r="K112" s="28"/>
      <c r="L112" s="48"/>
      <c r="M112" s="49"/>
      <c r="N112" s="49"/>
      <c r="O112" s="48"/>
      <c r="P112" s="48"/>
      <c r="Q112" s="49"/>
      <c r="R112" s="49"/>
      <c r="S112" s="48"/>
      <c r="T112" s="48"/>
      <c r="U112" s="49"/>
      <c r="V112" s="49"/>
      <c r="W112" s="48"/>
    </row>
    <row r="113" spans="2:23" s="7" customFormat="1" ht="51" hidden="1" x14ac:dyDescent="0.25">
      <c r="B113" s="30" t="s">
        <v>334</v>
      </c>
      <c r="C113" s="30"/>
      <c r="D113" s="30" t="s">
        <v>335</v>
      </c>
      <c r="E113" s="30"/>
      <c r="F113" s="30"/>
      <c r="G113" s="30"/>
      <c r="H113" s="30"/>
      <c r="I113" s="30"/>
      <c r="J113" s="30"/>
      <c r="K113" s="30"/>
      <c r="L113" s="50"/>
      <c r="M113" s="50"/>
      <c r="N113" s="50"/>
      <c r="O113" s="50"/>
      <c r="P113" s="50"/>
      <c r="Q113" s="50"/>
      <c r="R113" s="50"/>
      <c r="S113" s="50"/>
      <c r="T113" s="50"/>
      <c r="U113" s="50"/>
      <c r="V113" s="50"/>
      <c r="W113" s="50"/>
    </row>
    <row r="114" spans="2:23" s="7" customFormat="1" ht="38.25" hidden="1" x14ac:dyDescent="0.25">
      <c r="B114" s="67" t="s">
        <v>975</v>
      </c>
      <c r="C114" s="67"/>
      <c r="D114" s="70" t="s">
        <v>974</v>
      </c>
      <c r="E114" s="67"/>
      <c r="F114" s="67"/>
      <c r="G114" s="67"/>
      <c r="H114" s="67"/>
      <c r="I114" s="67"/>
      <c r="J114" s="67"/>
      <c r="K114" s="67"/>
      <c r="L114" s="75"/>
      <c r="M114" s="75"/>
      <c r="N114" s="75"/>
      <c r="O114" s="75"/>
      <c r="P114" s="75"/>
      <c r="Q114" s="75"/>
      <c r="R114" s="75"/>
      <c r="S114" s="75"/>
      <c r="T114" s="75"/>
      <c r="U114" s="75"/>
      <c r="V114" s="75"/>
      <c r="W114" s="75"/>
    </row>
    <row r="115" spans="2:23" s="7" customFormat="1" ht="51" hidden="1" x14ac:dyDescent="0.25">
      <c r="B115" s="33" t="s">
        <v>678</v>
      </c>
      <c r="C115" s="44"/>
      <c r="D115" s="33" t="s">
        <v>337</v>
      </c>
      <c r="E115" s="33"/>
      <c r="F115" s="33"/>
      <c r="G115" s="33"/>
      <c r="H115" s="44"/>
      <c r="I115" s="33"/>
      <c r="J115" s="33"/>
      <c r="K115" s="33"/>
      <c r="L115" s="51"/>
      <c r="M115" s="52"/>
      <c r="N115" s="51"/>
      <c r="O115" s="51"/>
      <c r="P115" s="51"/>
      <c r="Q115" s="51"/>
      <c r="R115" s="52"/>
      <c r="S115" s="51"/>
      <c r="T115" s="51"/>
      <c r="U115" s="51"/>
      <c r="V115" s="51"/>
      <c r="W115" s="52"/>
    </row>
    <row r="116" spans="2:23" s="7" customFormat="1" ht="63.75" hidden="1" x14ac:dyDescent="0.25">
      <c r="B116" s="13" t="s">
        <v>338</v>
      </c>
      <c r="C116" s="28"/>
      <c r="D116" s="28" t="s">
        <v>339</v>
      </c>
      <c r="E116" s="13"/>
      <c r="F116" s="13"/>
      <c r="G116" s="28"/>
      <c r="H116" s="28"/>
      <c r="I116" s="13"/>
      <c r="J116" s="13"/>
      <c r="K116" s="28"/>
      <c r="L116" s="48"/>
      <c r="M116" s="49"/>
      <c r="N116" s="49"/>
      <c r="O116" s="48"/>
      <c r="P116" s="48"/>
      <c r="Q116" s="49"/>
      <c r="R116" s="49"/>
      <c r="S116" s="48"/>
      <c r="T116" s="48"/>
      <c r="U116" s="49"/>
      <c r="V116" s="49"/>
      <c r="W116" s="48"/>
    </row>
    <row r="117" spans="2:23" s="7" customFormat="1" ht="76.5" hidden="1" x14ac:dyDescent="0.25">
      <c r="B117" s="30" t="s">
        <v>679</v>
      </c>
      <c r="C117" s="30"/>
      <c r="D117" s="30" t="s">
        <v>341</v>
      </c>
      <c r="E117" s="30"/>
      <c r="F117" s="30"/>
      <c r="G117" s="30"/>
      <c r="H117" s="30"/>
      <c r="I117" s="30"/>
      <c r="J117" s="30"/>
      <c r="K117" s="30"/>
      <c r="L117" s="50"/>
      <c r="M117" s="50"/>
      <c r="N117" s="50"/>
      <c r="O117" s="50"/>
      <c r="P117" s="50"/>
      <c r="Q117" s="50"/>
      <c r="R117" s="50"/>
      <c r="S117" s="50"/>
      <c r="T117" s="50"/>
      <c r="U117" s="50"/>
      <c r="V117" s="50"/>
      <c r="W117" s="50"/>
    </row>
    <row r="118" spans="2:23" s="7" customFormat="1" ht="113.25" hidden="1" customHeight="1" x14ac:dyDescent="0.25">
      <c r="B118" s="20" t="s">
        <v>342</v>
      </c>
      <c r="C118" s="20" t="s">
        <v>683</v>
      </c>
      <c r="D118" s="20" t="s">
        <v>343</v>
      </c>
      <c r="E118" s="20" t="s">
        <v>463</v>
      </c>
      <c r="F118" s="20" t="s">
        <v>680</v>
      </c>
      <c r="G118" s="20" t="s">
        <v>470</v>
      </c>
      <c r="H118" s="20" t="s">
        <v>681</v>
      </c>
      <c r="I118" s="20" t="s">
        <v>467</v>
      </c>
      <c r="J118" s="20" t="s">
        <v>468</v>
      </c>
      <c r="K118" s="20" t="s">
        <v>47</v>
      </c>
      <c r="L118" s="45" t="s">
        <v>863</v>
      </c>
      <c r="M118" s="45" t="s">
        <v>864</v>
      </c>
      <c r="N118" s="45">
        <v>1</v>
      </c>
      <c r="O118" s="45" t="s">
        <v>865</v>
      </c>
      <c r="P118" s="45" t="s">
        <v>866</v>
      </c>
      <c r="Q118" s="45">
        <v>2</v>
      </c>
      <c r="R118" s="45" t="s">
        <v>867</v>
      </c>
      <c r="S118" s="45" t="s">
        <v>868</v>
      </c>
      <c r="T118" s="45">
        <v>115</v>
      </c>
      <c r="U118" s="45"/>
      <c r="V118" s="45"/>
      <c r="W118" s="45"/>
    </row>
    <row r="119" spans="2:23" s="7" customFormat="1" ht="117" hidden="1" customHeight="1" x14ac:dyDescent="0.25">
      <c r="B119" s="20" t="s">
        <v>344</v>
      </c>
      <c r="C119" s="20" t="s">
        <v>684</v>
      </c>
      <c r="D119" s="20" t="s">
        <v>345</v>
      </c>
      <c r="E119" s="20" t="s">
        <v>519</v>
      </c>
      <c r="F119" s="20" t="s">
        <v>680</v>
      </c>
      <c r="G119" s="20" t="s">
        <v>553</v>
      </c>
      <c r="H119" s="20" t="s">
        <v>682</v>
      </c>
      <c r="I119" s="20" t="s">
        <v>467</v>
      </c>
      <c r="J119" s="20" t="s">
        <v>468</v>
      </c>
      <c r="K119" s="20"/>
      <c r="L119" s="45" t="s">
        <v>863</v>
      </c>
      <c r="M119" s="45" t="s">
        <v>864</v>
      </c>
      <c r="N119" s="45">
        <v>1</v>
      </c>
      <c r="O119" s="45" t="s">
        <v>865</v>
      </c>
      <c r="P119" s="45" t="s">
        <v>866</v>
      </c>
      <c r="Q119" s="45">
        <v>4</v>
      </c>
      <c r="R119" s="45" t="s">
        <v>867</v>
      </c>
      <c r="S119" s="45" t="s">
        <v>868</v>
      </c>
      <c r="T119" s="45">
        <v>190</v>
      </c>
      <c r="U119" s="45"/>
      <c r="V119" s="45"/>
      <c r="W119" s="45"/>
    </row>
    <row r="120" spans="2:23" s="7" customFormat="1" ht="38.25" hidden="1" x14ac:dyDescent="0.25">
      <c r="B120" s="30" t="s">
        <v>346</v>
      </c>
      <c r="C120" s="30"/>
      <c r="D120" s="30" t="s">
        <v>347</v>
      </c>
      <c r="E120" s="30"/>
      <c r="F120" s="30"/>
      <c r="G120" s="30"/>
      <c r="H120" s="30"/>
      <c r="I120" s="30"/>
      <c r="J120" s="30"/>
      <c r="K120" s="30"/>
      <c r="L120" s="50"/>
      <c r="M120" s="50"/>
      <c r="N120" s="50"/>
      <c r="O120" s="50"/>
      <c r="P120" s="50"/>
      <c r="Q120" s="50"/>
      <c r="R120" s="50"/>
      <c r="S120" s="50"/>
      <c r="T120" s="50"/>
      <c r="U120" s="50"/>
      <c r="V120" s="50"/>
      <c r="W120" s="50"/>
    </row>
    <row r="121" spans="2:23" s="7" customFormat="1" ht="105.75" hidden="1" customHeight="1" x14ac:dyDescent="0.25">
      <c r="B121" s="20" t="s">
        <v>348</v>
      </c>
      <c r="C121" s="20" t="s">
        <v>688</v>
      </c>
      <c r="D121" s="20" t="s">
        <v>685</v>
      </c>
      <c r="E121" s="20" t="s">
        <v>463</v>
      </c>
      <c r="F121" s="20" t="s">
        <v>680</v>
      </c>
      <c r="G121" s="20" t="s">
        <v>470</v>
      </c>
      <c r="H121" s="20" t="s">
        <v>686</v>
      </c>
      <c r="I121" s="20" t="s">
        <v>467</v>
      </c>
      <c r="J121" s="20" t="s">
        <v>468</v>
      </c>
      <c r="K121" s="20" t="s">
        <v>47</v>
      </c>
      <c r="L121" s="45" t="s">
        <v>869</v>
      </c>
      <c r="M121" s="45" t="s">
        <v>870</v>
      </c>
      <c r="N121" s="45">
        <v>1</v>
      </c>
      <c r="O121" s="45" t="s">
        <v>867</v>
      </c>
      <c r="P121" s="45" t="s">
        <v>868</v>
      </c>
      <c r="Q121" s="45">
        <v>470</v>
      </c>
      <c r="R121" s="45"/>
      <c r="S121" s="45"/>
      <c r="T121" s="45"/>
      <c r="U121" s="45"/>
      <c r="V121" s="45"/>
      <c r="W121" s="45"/>
    </row>
    <row r="122" spans="2:23" s="7" customFormat="1" ht="101.25" hidden="1" customHeight="1" x14ac:dyDescent="0.25">
      <c r="B122" s="20" t="s">
        <v>350</v>
      </c>
      <c r="C122" s="20" t="s">
        <v>689</v>
      </c>
      <c r="D122" s="20" t="s">
        <v>351</v>
      </c>
      <c r="E122" s="20" t="s">
        <v>478</v>
      </c>
      <c r="F122" s="20" t="s">
        <v>680</v>
      </c>
      <c r="G122" s="20" t="s">
        <v>687</v>
      </c>
      <c r="H122" s="20" t="s">
        <v>686</v>
      </c>
      <c r="I122" s="20" t="s">
        <v>467</v>
      </c>
      <c r="J122" s="20"/>
      <c r="K122" s="20"/>
      <c r="L122" s="45" t="s">
        <v>869</v>
      </c>
      <c r="M122" s="45" t="s">
        <v>870</v>
      </c>
      <c r="N122" s="45">
        <v>1</v>
      </c>
      <c r="O122" s="45" t="s">
        <v>867</v>
      </c>
      <c r="P122" s="45" t="s">
        <v>868</v>
      </c>
      <c r="Q122" s="45">
        <v>400</v>
      </c>
      <c r="R122" s="45"/>
      <c r="S122" s="45"/>
      <c r="T122" s="45"/>
      <c r="U122" s="45"/>
      <c r="V122" s="45"/>
      <c r="W122" s="45"/>
    </row>
    <row r="123" spans="2:23" s="7" customFormat="1" ht="107.25" hidden="1" customHeight="1" x14ac:dyDescent="0.25">
      <c r="B123" s="20" t="s">
        <v>352</v>
      </c>
      <c r="C123" s="20" t="s">
        <v>690</v>
      </c>
      <c r="D123" s="20" t="s">
        <v>353</v>
      </c>
      <c r="E123" s="20" t="s">
        <v>512</v>
      </c>
      <c r="F123" s="20" t="s">
        <v>680</v>
      </c>
      <c r="G123" s="20" t="s">
        <v>543</v>
      </c>
      <c r="H123" s="20" t="s">
        <v>686</v>
      </c>
      <c r="I123" s="20" t="s">
        <v>467</v>
      </c>
      <c r="J123" s="20"/>
      <c r="K123" s="20"/>
      <c r="L123" s="45" t="s">
        <v>869</v>
      </c>
      <c r="M123" s="45" t="s">
        <v>870</v>
      </c>
      <c r="N123" s="45">
        <v>1</v>
      </c>
      <c r="O123" s="45" t="s">
        <v>867</v>
      </c>
      <c r="P123" s="45" t="s">
        <v>868</v>
      </c>
      <c r="Q123" s="45">
        <v>486</v>
      </c>
      <c r="R123" s="45"/>
      <c r="S123" s="45"/>
      <c r="T123" s="45"/>
      <c r="U123" s="45"/>
      <c r="V123" s="45"/>
      <c r="W123" s="45"/>
    </row>
    <row r="124" spans="2:23" s="7" customFormat="1" ht="63" hidden="1" customHeight="1" x14ac:dyDescent="0.25">
      <c r="B124" s="13" t="s">
        <v>354</v>
      </c>
      <c r="C124" s="28"/>
      <c r="D124" s="28" t="s">
        <v>355</v>
      </c>
      <c r="E124" s="13"/>
      <c r="F124" s="13"/>
      <c r="G124" s="13" t="s">
        <v>691</v>
      </c>
      <c r="H124" s="28"/>
      <c r="I124" s="28"/>
      <c r="J124" s="13"/>
      <c r="K124" s="13"/>
      <c r="L124" s="49"/>
      <c r="M124" s="48"/>
      <c r="N124" s="48"/>
      <c r="O124" s="49"/>
      <c r="P124" s="49"/>
      <c r="Q124" s="49"/>
      <c r="R124" s="48"/>
      <c r="S124" s="48"/>
      <c r="T124" s="49"/>
      <c r="U124" s="49"/>
      <c r="V124" s="49"/>
      <c r="W124" s="48"/>
    </row>
    <row r="125" spans="2:23" s="7" customFormat="1" ht="63.75" hidden="1" x14ac:dyDescent="0.25">
      <c r="B125" s="30" t="s">
        <v>356</v>
      </c>
      <c r="C125" s="30"/>
      <c r="D125" s="30" t="s">
        <v>357</v>
      </c>
      <c r="E125" s="30"/>
      <c r="F125" s="30"/>
      <c r="G125" s="30"/>
      <c r="H125" s="30"/>
      <c r="I125" s="30"/>
      <c r="J125" s="30"/>
      <c r="K125" s="30"/>
      <c r="L125" s="50"/>
      <c r="M125" s="50"/>
      <c r="N125" s="50"/>
      <c r="O125" s="50"/>
      <c r="P125" s="50"/>
      <c r="Q125" s="50"/>
      <c r="R125" s="50"/>
      <c r="S125" s="50"/>
      <c r="T125" s="50"/>
      <c r="U125" s="50"/>
      <c r="V125" s="50"/>
      <c r="W125" s="50"/>
    </row>
    <row r="126" spans="2:23" s="7" customFormat="1" ht="127.5" hidden="1" x14ac:dyDescent="0.25">
      <c r="B126" s="20" t="s">
        <v>358</v>
      </c>
      <c r="C126" s="20" t="s">
        <v>695</v>
      </c>
      <c r="D126" s="20" t="s">
        <v>692</v>
      </c>
      <c r="E126" s="20" t="s">
        <v>463</v>
      </c>
      <c r="F126" s="20" t="s">
        <v>680</v>
      </c>
      <c r="G126" s="20" t="s">
        <v>465</v>
      </c>
      <c r="H126" s="20" t="s">
        <v>693</v>
      </c>
      <c r="I126" s="20" t="s">
        <v>467</v>
      </c>
      <c r="J126" s="20" t="s">
        <v>468</v>
      </c>
      <c r="K126" s="20" t="s">
        <v>47</v>
      </c>
      <c r="L126" s="45" t="s">
        <v>871</v>
      </c>
      <c r="M126" s="45" t="s">
        <v>872</v>
      </c>
      <c r="N126" s="45">
        <v>1</v>
      </c>
      <c r="O126" s="45" t="s">
        <v>867</v>
      </c>
      <c r="P126" s="45" t="s">
        <v>868</v>
      </c>
      <c r="Q126" s="45">
        <v>320</v>
      </c>
      <c r="R126" s="45"/>
      <c r="S126" s="45"/>
      <c r="T126" s="45"/>
      <c r="U126" s="45"/>
      <c r="V126" s="45"/>
      <c r="W126" s="45"/>
    </row>
    <row r="127" spans="2:23" s="7" customFormat="1" ht="76.5" hidden="1" customHeight="1" x14ac:dyDescent="0.25">
      <c r="B127" s="20" t="s">
        <v>360</v>
      </c>
      <c r="C127" s="20" t="s">
        <v>696</v>
      </c>
      <c r="D127" s="20" t="s">
        <v>361</v>
      </c>
      <c r="E127" s="20" t="s">
        <v>481</v>
      </c>
      <c r="F127" s="20" t="s">
        <v>694</v>
      </c>
      <c r="G127" s="20" t="s">
        <v>482</v>
      </c>
      <c r="H127" s="20" t="s">
        <v>693</v>
      </c>
      <c r="I127" s="20" t="s">
        <v>475</v>
      </c>
      <c r="J127" s="20" t="s">
        <v>476</v>
      </c>
      <c r="K127" s="20" t="s">
        <v>477</v>
      </c>
      <c r="L127" s="45" t="s">
        <v>871</v>
      </c>
      <c r="M127" s="45" t="s">
        <v>872</v>
      </c>
      <c r="N127" s="45">
        <v>1</v>
      </c>
      <c r="O127" s="45" t="s">
        <v>867</v>
      </c>
      <c r="P127" s="45" t="s">
        <v>868</v>
      </c>
      <c r="Q127" s="45">
        <v>330</v>
      </c>
      <c r="R127" s="45"/>
      <c r="S127" s="45"/>
      <c r="T127" s="45"/>
      <c r="U127" s="45"/>
      <c r="V127" s="45"/>
      <c r="W127" s="45"/>
    </row>
    <row r="128" spans="2:23" s="7" customFormat="1" ht="51" hidden="1" x14ac:dyDescent="0.25">
      <c r="B128" s="33" t="s">
        <v>362</v>
      </c>
      <c r="C128" s="44"/>
      <c r="D128" s="33" t="s">
        <v>363</v>
      </c>
      <c r="E128" s="33"/>
      <c r="F128" s="33"/>
      <c r="G128" s="44"/>
      <c r="H128" s="33"/>
      <c r="I128" s="33"/>
      <c r="J128" s="33"/>
      <c r="K128" s="44"/>
      <c r="L128" s="51"/>
      <c r="M128" s="51"/>
      <c r="N128" s="51"/>
      <c r="O128" s="52"/>
      <c r="P128" s="51"/>
      <c r="Q128" s="51"/>
      <c r="R128" s="51"/>
      <c r="S128" s="52"/>
      <c r="T128" s="51"/>
      <c r="U128" s="51"/>
      <c r="V128" s="51"/>
      <c r="W128" s="52"/>
    </row>
    <row r="129" spans="2:23" s="7" customFormat="1" ht="93.75" hidden="1" customHeight="1" x14ac:dyDescent="0.25">
      <c r="B129" s="13" t="s">
        <v>364</v>
      </c>
      <c r="C129" s="28"/>
      <c r="D129" s="28" t="s">
        <v>365</v>
      </c>
      <c r="E129" s="13"/>
      <c r="F129" s="13"/>
      <c r="G129" s="13"/>
      <c r="H129" s="28"/>
      <c r="I129" s="28"/>
      <c r="J129" s="13"/>
      <c r="K129" s="13"/>
      <c r="L129" s="49"/>
      <c r="M129" s="48"/>
      <c r="N129" s="48"/>
      <c r="O129" s="49"/>
      <c r="P129" s="49"/>
      <c r="Q129" s="49"/>
      <c r="R129" s="48"/>
      <c r="S129" s="48"/>
      <c r="T129" s="49"/>
      <c r="U129" s="49"/>
      <c r="V129" s="49"/>
      <c r="W129" s="48"/>
    </row>
    <row r="130" spans="2:23" s="7" customFormat="1" ht="101.25" hidden="1" customHeight="1" x14ac:dyDescent="0.25">
      <c r="B130" s="30" t="s">
        <v>366</v>
      </c>
      <c r="C130" s="30"/>
      <c r="D130" s="30" t="s">
        <v>367</v>
      </c>
      <c r="E130" s="30"/>
      <c r="F130" s="30"/>
      <c r="G130" s="30"/>
      <c r="H130" s="30"/>
      <c r="I130" s="30"/>
      <c r="J130" s="30"/>
      <c r="K130" s="30"/>
      <c r="L130" s="50"/>
      <c r="M130" s="50"/>
      <c r="N130" s="50"/>
      <c r="O130" s="50"/>
      <c r="P130" s="50"/>
      <c r="Q130" s="50"/>
      <c r="R130" s="50"/>
      <c r="S130" s="50"/>
      <c r="T130" s="50"/>
      <c r="U130" s="50"/>
      <c r="V130" s="50"/>
      <c r="W130" s="50"/>
    </row>
    <row r="131" spans="2:23" s="7" customFormat="1" ht="202.5" hidden="1" customHeight="1" x14ac:dyDescent="0.25">
      <c r="B131" s="32" t="s">
        <v>995</v>
      </c>
      <c r="C131" s="32" t="s">
        <v>1001</v>
      </c>
      <c r="D131" s="32" t="s">
        <v>1007</v>
      </c>
      <c r="E131" s="32" t="s">
        <v>1008</v>
      </c>
      <c r="F131" s="32" t="s">
        <v>698</v>
      </c>
      <c r="G131" s="32" t="s">
        <v>465</v>
      </c>
      <c r="H131" s="32" t="s">
        <v>924</v>
      </c>
      <c r="I131" s="32" t="s">
        <v>467</v>
      </c>
      <c r="J131" s="32" t="s">
        <v>47</v>
      </c>
      <c r="K131" s="32" t="s">
        <v>47</v>
      </c>
      <c r="L131" s="32" t="s">
        <v>1009</v>
      </c>
      <c r="M131" s="32" t="s">
        <v>1010</v>
      </c>
      <c r="N131" s="32">
        <v>21285</v>
      </c>
      <c r="O131" s="32" t="s">
        <v>1011</v>
      </c>
      <c r="P131" s="32" t="s">
        <v>1012</v>
      </c>
      <c r="Q131" s="32">
        <v>1</v>
      </c>
      <c r="R131" s="32"/>
      <c r="S131" s="32"/>
      <c r="T131" s="32"/>
      <c r="U131" s="32"/>
      <c r="V131" s="32"/>
      <c r="W131" s="32"/>
    </row>
    <row r="132" spans="2:23" s="7" customFormat="1" ht="200.25" hidden="1" customHeight="1" x14ac:dyDescent="0.25">
      <c r="B132" s="32" t="s">
        <v>996</v>
      </c>
      <c r="C132" s="32" t="s">
        <v>1002</v>
      </c>
      <c r="D132" s="32" t="s">
        <v>1013</v>
      </c>
      <c r="E132" s="32" t="s">
        <v>1014</v>
      </c>
      <c r="F132" s="32" t="s">
        <v>698</v>
      </c>
      <c r="G132" s="32" t="s">
        <v>543</v>
      </c>
      <c r="H132" s="32" t="s">
        <v>924</v>
      </c>
      <c r="I132" s="32" t="s">
        <v>467</v>
      </c>
      <c r="J132" s="32" t="s">
        <v>47</v>
      </c>
      <c r="K132" s="32" t="s">
        <v>47</v>
      </c>
      <c r="L132" s="32" t="s">
        <v>1009</v>
      </c>
      <c r="M132" s="32" t="s">
        <v>1010</v>
      </c>
      <c r="N132" s="32">
        <v>7287</v>
      </c>
      <c r="O132" s="32" t="s">
        <v>1011</v>
      </c>
      <c r="P132" s="32" t="s">
        <v>1012</v>
      </c>
      <c r="Q132" s="32">
        <v>1</v>
      </c>
      <c r="R132" s="53"/>
      <c r="S132" s="53"/>
      <c r="T132" s="53"/>
      <c r="U132" s="53"/>
      <c r="V132" s="53"/>
      <c r="W132" s="53"/>
    </row>
    <row r="133" spans="2:23" s="7" customFormat="1" ht="204.75" hidden="1" customHeight="1" x14ac:dyDescent="0.25">
      <c r="B133" s="32" t="s">
        <v>997</v>
      </c>
      <c r="C133" s="32" t="s">
        <v>1003</v>
      </c>
      <c r="D133" s="68" t="s">
        <v>1033</v>
      </c>
      <c r="E133" s="32" t="s">
        <v>1017</v>
      </c>
      <c r="F133" s="32" t="s">
        <v>698</v>
      </c>
      <c r="G133" s="32" t="s">
        <v>543</v>
      </c>
      <c r="H133" s="32" t="s">
        <v>924</v>
      </c>
      <c r="I133" s="32" t="s">
        <v>467</v>
      </c>
      <c r="J133" s="32" t="s">
        <v>47</v>
      </c>
      <c r="K133" s="32" t="s">
        <v>47</v>
      </c>
      <c r="L133" s="53" t="s">
        <v>1009</v>
      </c>
      <c r="M133" s="53" t="s">
        <v>1010</v>
      </c>
      <c r="N133" s="53">
        <v>6819</v>
      </c>
      <c r="O133" s="53" t="s">
        <v>1011</v>
      </c>
      <c r="P133" s="53" t="s">
        <v>1012</v>
      </c>
      <c r="Q133" s="53">
        <v>1</v>
      </c>
      <c r="R133" s="53"/>
      <c r="S133" s="53"/>
      <c r="T133" s="53"/>
      <c r="U133" s="53"/>
      <c r="V133" s="53"/>
      <c r="W133" s="53"/>
    </row>
    <row r="134" spans="2:23" s="7" customFormat="1" ht="172.5" hidden="1" customHeight="1" x14ac:dyDescent="0.25">
      <c r="B134" s="32" t="s">
        <v>998</v>
      </c>
      <c r="C134" s="32" t="s">
        <v>1004</v>
      </c>
      <c r="D134" s="32" t="s">
        <v>1018</v>
      </c>
      <c r="E134" s="32" t="s">
        <v>1019</v>
      </c>
      <c r="F134" s="32" t="s">
        <v>698</v>
      </c>
      <c r="G134" s="32" t="s">
        <v>609</v>
      </c>
      <c r="H134" s="32" t="s">
        <v>924</v>
      </c>
      <c r="I134" s="32" t="s">
        <v>467</v>
      </c>
      <c r="J134" s="32" t="s">
        <v>47</v>
      </c>
      <c r="K134" s="32" t="s">
        <v>47</v>
      </c>
      <c r="L134" s="53" t="s">
        <v>1009</v>
      </c>
      <c r="M134" s="53" t="s">
        <v>1010</v>
      </c>
      <c r="N134" s="53">
        <v>15432</v>
      </c>
      <c r="O134" s="53" t="s">
        <v>1011</v>
      </c>
      <c r="P134" s="53" t="s">
        <v>1012</v>
      </c>
      <c r="Q134" s="53">
        <v>1</v>
      </c>
      <c r="R134" s="53"/>
      <c r="S134" s="53"/>
      <c r="T134" s="53"/>
      <c r="U134" s="53"/>
      <c r="V134" s="53"/>
      <c r="W134" s="53"/>
    </row>
    <row r="135" spans="2:23" s="7" customFormat="1" ht="95.25" hidden="1" customHeight="1" x14ac:dyDescent="0.25">
      <c r="B135" s="32" t="s">
        <v>999</v>
      </c>
      <c r="C135" s="32" t="s">
        <v>1005</v>
      </c>
      <c r="D135" s="32" t="s">
        <v>1020</v>
      </c>
      <c r="E135" s="32" t="s">
        <v>702</v>
      </c>
      <c r="F135" s="32" t="s">
        <v>698</v>
      </c>
      <c r="G135" s="32" t="s">
        <v>520</v>
      </c>
      <c r="H135" s="32" t="s">
        <v>924</v>
      </c>
      <c r="I135" s="32" t="s">
        <v>467</v>
      </c>
      <c r="J135" s="32" t="s">
        <v>47</v>
      </c>
      <c r="K135" s="32" t="s">
        <v>47</v>
      </c>
      <c r="L135" s="53" t="s">
        <v>1009</v>
      </c>
      <c r="M135" s="53" t="s">
        <v>1010</v>
      </c>
      <c r="N135" s="53">
        <v>19722</v>
      </c>
      <c r="O135" s="53" t="s">
        <v>1011</v>
      </c>
      <c r="P135" s="53" t="s">
        <v>1012</v>
      </c>
      <c r="Q135" s="53">
        <v>1</v>
      </c>
      <c r="R135" s="53"/>
      <c r="S135" s="53"/>
      <c r="T135" s="53"/>
      <c r="U135" s="53"/>
      <c r="V135" s="53"/>
      <c r="W135" s="53"/>
    </row>
    <row r="136" spans="2:23" s="7" customFormat="1" ht="95.25" hidden="1" customHeight="1" x14ac:dyDescent="0.25">
      <c r="B136" s="32" t="s">
        <v>1000</v>
      </c>
      <c r="C136" s="32" t="s">
        <v>1006</v>
      </c>
      <c r="D136" s="32" t="s">
        <v>1023</v>
      </c>
      <c r="E136" s="32" t="s">
        <v>1024</v>
      </c>
      <c r="F136" s="32" t="s">
        <v>698</v>
      </c>
      <c r="G136" s="32" t="s">
        <v>520</v>
      </c>
      <c r="H136" s="32" t="s">
        <v>924</v>
      </c>
      <c r="I136" s="32" t="s">
        <v>467</v>
      </c>
      <c r="J136" s="32" t="s">
        <v>47</v>
      </c>
      <c r="K136" s="32" t="s">
        <v>47</v>
      </c>
      <c r="L136" s="53" t="s">
        <v>1009</v>
      </c>
      <c r="M136" s="53" t="s">
        <v>1010</v>
      </c>
      <c r="N136" s="53">
        <v>1455</v>
      </c>
      <c r="O136" s="53" t="s">
        <v>1011</v>
      </c>
      <c r="P136" s="53" t="s">
        <v>1012</v>
      </c>
      <c r="Q136" s="53">
        <v>1</v>
      </c>
      <c r="R136" s="53"/>
      <c r="S136" s="53"/>
      <c r="T136" s="53"/>
      <c r="U136" s="53"/>
      <c r="V136" s="53"/>
      <c r="W136" s="53"/>
    </row>
    <row r="137" spans="2:23" s="7" customFormat="1" ht="204" hidden="1" customHeight="1" x14ac:dyDescent="0.25">
      <c r="B137" s="32" t="s">
        <v>1021</v>
      </c>
      <c r="C137" s="32" t="s">
        <v>1026</v>
      </c>
      <c r="D137" s="32" t="s">
        <v>1025</v>
      </c>
      <c r="E137" s="32" t="s">
        <v>1027</v>
      </c>
      <c r="F137" s="32" t="s">
        <v>698</v>
      </c>
      <c r="G137" s="32" t="s">
        <v>721</v>
      </c>
      <c r="H137" s="32" t="s">
        <v>924</v>
      </c>
      <c r="I137" s="32" t="s">
        <v>467</v>
      </c>
      <c r="J137" s="32" t="s">
        <v>47</v>
      </c>
      <c r="K137" s="32" t="s">
        <v>47</v>
      </c>
      <c r="L137" s="53" t="s">
        <v>1009</v>
      </c>
      <c r="M137" s="53" t="s">
        <v>1010</v>
      </c>
      <c r="N137" s="53">
        <v>14358</v>
      </c>
      <c r="O137" s="53" t="s">
        <v>1011</v>
      </c>
      <c r="P137" s="53" t="s">
        <v>1012</v>
      </c>
      <c r="Q137" s="53">
        <v>1</v>
      </c>
      <c r="R137" s="53"/>
      <c r="S137" s="53"/>
      <c r="T137" s="53"/>
      <c r="U137" s="53"/>
      <c r="V137" s="53"/>
      <c r="W137" s="53"/>
    </row>
    <row r="138" spans="2:23" s="7" customFormat="1" ht="204" hidden="1" customHeight="1" x14ac:dyDescent="0.25">
      <c r="B138" s="32" t="s">
        <v>1022</v>
      </c>
      <c r="C138" s="32" t="s">
        <v>1029</v>
      </c>
      <c r="D138" s="32" t="s">
        <v>1031</v>
      </c>
      <c r="E138" s="32" t="s">
        <v>703</v>
      </c>
      <c r="F138" s="32" t="s">
        <v>698</v>
      </c>
      <c r="G138" s="32" t="s">
        <v>1030</v>
      </c>
      <c r="H138" s="32" t="s">
        <v>924</v>
      </c>
      <c r="I138" s="32" t="s">
        <v>467</v>
      </c>
      <c r="J138" s="32" t="s">
        <v>47</v>
      </c>
      <c r="K138" s="32" t="s">
        <v>47</v>
      </c>
      <c r="L138" s="53" t="s">
        <v>1009</v>
      </c>
      <c r="M138" s="53" t="s">
        <v>1010</v>
      </c>
      <c r="N138" s="53">
        <v>20190</v>
      </c>
      <c r="O138" s="53" t="s">
        <v>1011</v>
      </c>
      <c r="P138" s="53" t="s">
        <v>1012</v>
      </c>
      <c r="Q138" s="53">
        <v>1</v>
      </c>
      <c r="R138" s="53"/>
      <c r="S138" s="53"/>
      <c r="T138" s="53"/>
      <c r="U138" s="53"/>
      <c r="V138" s="53"/>
      <c r="W138" s="53"/>
    </row>
    <row r="139" spans="2:23" s="7" customFormat="1" ht="149.25" hidden="1" customHeight="1" x14ac:dyDescent="0.25">
      <c r="B139" s="30" t="s">
        <v>368</v>
      </c>
      <c r="C139" s="30"/>
      <c r="D139" s="30" t="s">
        <v>369</v>
      </c>
      <c r="E139" s="30"/>
      <c r="F139" s="30"/>
      <c r="G139" s="30"/>
      <c r="H139" s="30"/>
      <c r="I139" s="30"/>
      <c r="J139" s="30"/>
      <c r="K139" s="30"/>
      <c r="L139" s="50"/>
      <c r="M139" s="50"/>
      <c r="N139" s="50"/>
      <c r="O139" s="50"/>
      <c r="P139" s="50"/>
      <c r="Q139" s="50"/>
      <c r="R139" s="50"/>
      <c r="S139" s="50"/>
      <c r="T139" s="50"/>
      <c r="U139" s="50"/>
      <c r="V139" s="50"/>
      <c r="W139" s="50"/>
    </row>
    <row r="140" spans="2:23" s="7" customFormat="1" ht="161.25" hidden="1" customHeight="1" x14ac:dyDescent="0.25">
      <c r="B140" s="20" t="s">
        <v>370</v>
      </c>
      <c r="C140" s="20" t="s">
        <v>707</v>
      </c>
      <c r="D140" s="20" t="s">
        <v>371</v>
      </c>
      <c r="E140" s="20" t="s">
        <v>697</v>
      </c>
      <c r="F140" s="20" t="s">
        <v>698</v>
      </c>
      <c r="G140" s="20" t="s">
        <v>465</v>
      </c>
      <c r="H140" s="20" t="s">
        <v>699</v>
      </c>
      <c r="I140" s="20" t="s">
        <v>467</v>
      </c>
      <c r="J140" s="20" t="s">
        <v>47</v>
      </c>
      <c r="K140" s="20" t="s">
        <v>47</v>
      </c>
      <c r="L140" s="45" t="s">
        <v>873</v>
      </c>
      <c r="M140" s="45" t="s">
        <v>874</v>
      </c>
      <c r="N140" s="45">
        <v>32</v>
      </c>
      <c r="O140" s="45"/>
      <c r="P140" s="45"/>
      <c r="Q140" s="45"/>
      <c r="R140" s="45"/>
      <c r="S140" s="45"/>
      <c r="T140" s="45"/>
      <c r="U140" s="45"/>
      <c r="V140" s="45"/>
      <c r="W140" s="45"/>
    </row>
    <row r="141" spans="2:23" s="7" customFormat="1" ht="166.5" hidden="1" customHeight="1" x14ac:dyDescent="0.25">
      <c r="B141" s="20" t="s">
        <v>372</v>
      </c>
      <c r="C141" s="20" t="s">
        <v>708</v>
      </c>
      <c r="D141" s="20" t="s">
        <v>373</v>
      </c>
      <c r="E141" s="20" t="s">
        <v>700</v>
      </c>
      <c r="F141" s="20" t="s">
        <v>698</v>
      </c>
      <c r="G141" s="20" t="s">
        <v>543</v>
      </c>
      <c r="H141" s="20" t="s">
        <v>699</v>
      </c>
      <c r="I141" s="20" t="s">
        <v>467</v>
      </c>
      <c r="J141" s="20" t="s">
        <v>47</v>
      </c>
      <c r="K141" s="20" t="s">
        <v>47</v>
      </c>
      <c r="L141" s="45" t="s">
        <v>873</v>
      </c>
      <c r="M141" s="45" t="s">
        <v>874</v>
      </c>
      <c r="N141" s="45">
        <v>15</v>
      </c>
      <c r="O141" s="45"/>
      <c r="P141" s="45"/>
      <c r="Q141" s="45"/>
      <c r="R141" s="45"/>
      <c r="S141" s="45"/>
      <c r="T141" s="45"/>
      <c r="U141" s="45"/>
      <c r="V141" s="45"/>
      <c r="W141" s="45"/>
    </row>
    <row r="142" spans="2:23" s="7" customFormat="1" ht="166.5" hidden="1" customHeight="1" x14ac:dyDescent="0.25">
      <c r="B142" s="20" t="s">
        <v>374</v>
      </c>
      <c r="C142" s="20" t="s">
        <v>709</v>
      </c>
      <c r="D142" s="20" t="s">
        <v>375</v>
      </c>
      <c r="E142" s="20" t="s">
        <v>701</v>
      </c>
      <c r="F142" s="20" t="s">
        <v>698</v>
      </c>
      <c r="G142" s="20" t="s">
        <v>609</v>
      </c>
      <c r="H142" s="20" t="s">
        <v>699</v>
      </c>
      <c r="I142" s="20" t="s">
        <v>467</v>
      </c>
      <c r="J142" s="20" t="s">
        <v>47</v>
      </c>
      <c r="K142" s="20" t="s">
        <v>47</v>
      </c>
      <c r="L142" s="45" t="s">
        <v>873</v>
      </c>
      <c r="M142" s="45" t="s">
        <v>874</v>
      </c>
      <c r="N142" s="45">
        <v>19</v>
      </c>
      <c r="O142" s="45"/>
      <c r="P142" s="45"/>
      <c r="Q142" s="45"/>
      <c r="R142" s="45"/>
      <c r="S142" s="45"/>
      <c r="T142" s="45"/>
      <c r="U142" s="45"/>
      <c r="V142" s="45"/>
      <c r="W142" s="45"/>
    </row>
    <row r="143" spans="2:23" s="7" customFormat="1" ht="165" hidden="1" customHeight="1" x14ac:dyDescent="0.25">
      <c r="B143" s="20" t="s">
        <v>376</v>
      </c>
      <c r="C143" s="20" t="s">
        <v>710</v>
      </c>
      <c r="D143" s="20" t="s">
        <v>377</v>
      </c>
      <c r="E143" s="20" t="s">
        <v>702</v>
      </c>
      <c r="F143" s="20" t="s">
        <v>698</v>
      </c>
      <c r="G143" s="20" t="s">
        <v>520</v>
      </c>
      <c r="H143" s="20" t="s">
        <v>699</v>
      </c>
      <c r="I143" s="20" t="s">
        <v>467</v>
      </c>
      <c r="J143" s="20" t="s">
        <v>47</v>
      </c>
      <c r="K143" s="20" t="s">
        <v>47</v>
      </c>
      <c r="L143" s="45" t="s">
        <v>873</v>
      </c>
      <c r="M143" s="45" t="s">
        <v>874</v>
      </c>
      <c r="N143" s="45">
        <v>13</v>
      </c>
      <c r="O143" s="45"/>
      <c r="P143" s="45"/>
      <c r="Q143" s="45"/>
      <c r="R143" s="45"/>
      <c r="S143" s="45"/>
      <c r="T143" s="45"/>
      <c r="U143" s="45"/>
      <c r="V143" s="45"/>
      <c r="W143" s="45"/>
    </row>
    <row r="144" spans="2:23" s="7" customFormat="1" ht="170.25" hidden="1" customHeight="1" x14ac:dyDescent="0.25">
      <c r="B144" s="20" t="s">
        <v>378</v>
      </c>
      <c r="C144" s="20" t="s">
        <v>711</v>
      </c>
      <c r="D144" s="20" t="s">
        <v>379</v>
      </c>
      <c r="E144" s="20" t="s">
        <v>703</v>
      </c>
      <c r="F144" s="20" t="s">
        <v>698</v>
      </c>
      <c r="G144" s="20" t="s">
        <v>704</v>
      </c>
      <c r="H144" s="20" t="s">
        <v>699</v>
      </c>
      <c r="I144" s="20" t="s">
        <v>467</v>
      </c>
      <c r="J144" s="20" t="s">
        <v>47</v>
      </c>
      <c r="K144" s="20" t="s">
        <v>47</v>
      </c>
      <c r="L144" s="45" t="s">
        <v>873</v>
      </c>
      <c r="M144" s="45" t="s">
        <v>874</v>
      </c>
      <c r="N144" s="45">
        <v>5</v>
      </c>
      <c r="O144" s="45"/>
      <c r="P144" s="45"/>
      <c r="Q144" s="45"/>
      <c r="R144" s="45"/>
      <c r="S144" s="45"/>
      <c r="T144" s="45"/>
      <c r="U144" s="45"/>
      <c r="V144" s="45"/>
      <c r="W144" s="45"/>
    </row>
    <row r="145" spans="2:23" s="7" customFormat="1" ht="168" hidden="1" customHeight="1" x14ac:dyDescent="0.25">
      <c r="B145" s="20" t="s">
        <v>380</v>
      </c>
      <c r="C145" s="20" t="s">
        <v>712</v>
      </c>
      <c r="D145" s="20" t="s">
        <v>381</v>
      </c>
      <c r="E145" s="20" t="s">
        <v>705</v>
      </c>
      <c r="F145" s="20" t="s">
        <v>698</v>
      </c>
      <c r="G145" s="20" t="s">
        <v>706</v>
      </c>
      <c r="H145" s="20" t="s">
        <v>699</v>
      </c>
      <c r="I145" s="20" t="s">
        <v>467</v>
      </c>
      <c r="J145" s="20" t="s">
        <v>47</v>
      </c>
      <c r="K145" s="20" t="s">
        <v>47</v>
      </c>
      <c r="L145" s="45" t="s">
        <v>873</v>
      </c>
      <c r="M145" s="45" t="s">
        <v>874</v>
      </c>
      <c r="N145" s="45">
        <v>17</v>
      </c>
      <c r="O145" s="45"/>
      <c r="P145" s="45"/>
      <c r="Q145" s="45"/>
      <c r="R145" s="45"/>
      <c r="S145" s="45"/>
      <c r="T145" s="45"/>
      <c r="U145" s="45"/>
      <c r="V145" s="45"/>
      <c r="W145" s="45"/>
    </row>
    <row r="146" spans="2:23" s="7" customFormat="1" ht="82.5" hidden="1" customHeight="1" x14ac:dyDescent="0.25">
      <c r="B146" s="13" t="s">
        <v>382</v>
      </c>
      <c r="C146" s="28"/>
      <c r="D146" s="28" t="s">
        <v>383</v>
      </c>
      <c r="E146" s="13"/>
      <c r="F146" s="13"/>
      <c r="G146" s="13"/>
      <c r="H146" s="28"/>
      <c r="I146" s="28"/>
      <c r="J146" s="13"/>
      <c r="K146" s="13"/>
      <c r="L146" s="49"/>
      <c r="M146" s="48"/>
      <c r="N146" s="48"/>
      <c r="O146" s="49"/>
      <c r="P146" s="49"/>
      <c r="Q146" s="49"/>
      <c r="R146" s="48"/>
      <c r="S146" s="48"/>
      <c r="T146" s="49"/>
      <c r="U146" s="49"/>
      <c r="V146" s="49"/>
      <c r="W146" s="48"/>
    </row>
    <row r="147" spans="2:23" s="7" customFormat="1" ht="51" hidden="1" x14ac:dyDescent="0.25">
      <c r="B147" s="30" t="s">
        <v>384</v>
      </c>
      <c r="C147" s="30"/>
      <c r="D147" s="30" t="s">
        <v>713</v>
      </c>
      <c r="E147" s="30"/>
      <c r="F147" s="30"/>
      <c r="G147" s="30"/>
      <c r="H147" s="30"/>
      <c r="I147" s="30"/>
      <c r="J147" s="30"/>
      <c r="K147" s="30"/>
      <c r="L147" s="50"/>
      <c r="M147" s="50"/>
      <c r="N147" s="50"/>
      <c r="O147" s="50"/>
      <c r="P147" s="50"/>
      <c r="Q147" s="50"/>
      <c r="R147" s="50"/>
      <c r="S147" s="50"/>
      <c r="T147" s="50"/>
      <c r="U147" s="50"/>
      <c r="V147" s="50"/>
      <c r="W147" s="50"/>
    </row>
    <row r="148" spans="2:23" s="7" customFormat="1" ht="153" hidden="1" x14ac:dyDescent="0.25">
      <c r="B148" s="20" t="s">
        <v>724</v>
      </c>
      <c r="C148" s="20" t="s">
        <v>727</v>
      </c>
      <c r="D148" s="20" t="s">
        <v>387</v>
      </c>
      <c r="E148" s="20" t="s">
        <v>714</v>
      </c>
      <c r="F148" s="20" t="s">
        <v>715</v>
      </c>
      <c r="G148" s="20" t="s">
        <v>465</v>
      </c>
      <c r="H148" s="20" t="s">
        <v>716</v>
      </c>
      <c r="I148" s="20" t="s">
        <v>467</v>
      </c>
      <c r="J148" s="20" t="s">
        <v>717</v>
      </c>
      <c r="K148" s="20" t="s">
        <v>717</v>
      </c>
      <c r="L148" s="45" t="s">
        <v>875</v>
      </c>
      <c r="M148" s="45" t="s">
        <v>876</v>
      </c>
      <c r="N148" s="45">
        <v>2100</v>
      </c>
      <c r="O148" s="45" t="s">
        <v>877</v>
      </c>
      <c r="P148" s="45" t="s">
        <v>878</v>
      </c>
      <c r="Q148" s="45">
        <v>1</v>
      </c>
      <c r="R148" s="45"/>
      <c r="S148" s="45"/>
      <c r="T148" s="45"/>
      <c r="U148" s="45"/>
      <c r="V148" s="45"/>
      <c r="W148" s="45"/>
    </row>
    <row r="149" spans="2:23" s="7" customFormat="1" ht="153" hidden="1" x14ac:dyDescent="0.25">
      <c r="B149" s="20" t="s">
        <v>725</v>
      </c>
      <c r="C149" s="20" t="s">
        <v>728</v>
      </c>
      <c r="D149" s="20" t="s">
        <v>389</v>
      </c>
      <c r="E149" s="20" t="s">
        <v>718</v>
      </c>
      <c r="F149" s="20" t="s">
        <v>715</v>
      </c>
      <c r="G149" s="20" t="s">
        <v>609</v>
      </c>
      <c r="H149" s="20" t="s">
        <v>716</v>
      </c>
      <c r="I149" s="20" t="s">
        <v>467</v>
      </c>
      <c r="J149" s="20" t="s">
        <v>47</v>
      </c>
      <c r="K149" s="20" t="s">
        <v>47</v>
      </c>
      <c r="L149" s="45" t="s">
        <v>875</v>
      </c>
      <c r="M149" s="45" t="s">
        <v>879</v>
      </c>
      <c r="N149" s="45">
        <v>1782</v>
      </c>
      <c r="O149" s="45"/>
      <c r="P149" s="45"/>
      <c r="Q149" s="45"/>
      <c r="R149" s="45"/>
      <c r="S149" s="45"/>
      <c r="T149" s="45"/>
      <c r="U149" s="45"/>
      <c r="V149" s="45"/>
      <c r="W149" s="45"/>
    </row>
    <row r="150" spans="2:23" s="7" customFormat="1" ht="153" hidden="1" x14ac:dyDescent="0.25">
      <c r="B150" s="20" t="s">
        <v>726</v>
      </c>
      <c r="C150" s="20" t="s">
        <v>729</v>
      </c>
      <c r="D150" s="20" t="s">
        <v>391</v>
      </c>
      <c r="E150" s="20" t="s">
        <v>719</v>
      </c>
      <c r="F150" s="20" t="s">
        <v>715</v>
      </c>
      <c r="G150" s="20" t="s">
        <v>520</v>
      </c>
      <c r="H150" s="20" t="s">
        <v>716</v>
      </c>
      <c r="I150" s="20" t="s">
        <v>467</v>
      </c>
      <c r="J150" s="20" t="s">
        <v>47</v>
      </c>
      <c r="K150" s="20" t="s">
        <v>47</v>
      </c>
      <c r="L150" s="45" t="s">
        <v>875</v>
      </c>
      <c r="M150" s="45" t="s">
        <v>880</v>
      </c>
      <c r="N150" s="45">
        <v>2488</v>
      </c>
      <c r="O150" s="45"/>
      <c r="P150" s="45"/>
      <c r="Q150" s="45"/>
      <c r="R150" s="45"/>
      <c r="S150" s="45"/>
      <c r="T150" s="45"/>
      <c r="U150" s="45"/>
      <c r="V150" s="45"/>
      <c r="W150" s="45"/>
    </row>
    <row r="151" spans="2:23" s="7" customFormat="1" ht="153" hidden="1" x14ac:dyDescent="0.25">
      <c r="B151" s="20" t="s">
        <v>392</v>
      </c>
      <c r="C151" s="20" t="s">
        <v>730</v>
      </c>
      <c r="D151" s="20" t="s">
        <v>393</v>
      </c>
      <c r="E151" s="20" t="s">
        <v>720</v>
      </c>
      <c r="F151" s="20" t="s">
        <v>715</v>
      </c>
      <c r="G151" s="20" t="s">
        <v>721</v>
      </c>
      <c r="H151" s="20" t="s">
        <v>716</v>
      </c>
      <c r="I151" s="20" t="s">
        <v>467</v>
      </c>
      <c r="J151" s="20" t="s">
        <v>717</v>
      </c>
      <c r="K151" s="20" t="s">
        <v>717</v>
      </c>
      <c r="L151" s="45" t="s">
        <v>875</v>
      </c>
      <c r="M151" s="45" t="s">
        <v>881</v>
      </c>
      <c r="N151" s="45">
        <v>1414</v>
      </c>
      <c r="O151" s="45"/>
      <c r="P151" s="45"/>
      <c r="Q151" s="45"/>
      <c r="R151" s="45"/>
      <c r="S151" s="45"/>
      <c r="T151" s="45"/>
      <c r="U151" s="45"/>
      <c r="V151" s="45"/>
      <c r="W151" s="45"/>
    </row>
    <row r="152" spans="2:23" s="7" customFormat="1" ht="153" hidden="1" x14ac:dyDescent="0.25">
      <c r="B152" s="20" t="s">
        <v>394</v>
      </c>
      <c r="C152" s="20" t="s">
        <v>731</v>
      </c>
      <c r="D152" s="20" t="s">
        <v>395</v>
      </c>
      <c r="E152" s="20" t="s">
        <v>722</v>
      </c>
      <c r="F152" s="20" t="s">
        <v>698</v>
      </c>
      <c r="G152" s="20" t="s">
        <v>543</v>
      </c>
      <c r="H152" s="20" t="s">
        <v>716</v>
      </c>
      <c r="I152" s="20" t="s">
        <v>467</v>
      </c>
      <c r="J152" s="20" t="s">
        <v>47</v>
      </c>
      <c r="K152" s="20" t="s">
        <v>47</v>
      </c>
      <c r="L152" s="45" t="s">
        <v>875</v>
      </c>
      <c r="M152" s="45" t="s">
        <v>882</v>
      </c>
      <c r="N152" s="45">
        <v>398</v>
      </c>
      <c r="O152" s="45"/>
      <c r="P152" s="45"/>
      <c r="Q152" s="45"/>
      <c r="R152" s="45"/>
      <c r="S152" s="45"/>
      <c r="T152" s="45"/>
      <c r="U152" s="45"/>
      <c r="V152" s="45"/>
      <c r="W152" s="45"/>
    </row>
    <row r="153" spans="2:23" s="7" customFormat="1" ht="153" hidden="1" x14ac:dyDescent="0.25">
      <c r="B153" s="20" t="s">
        <v>396</v>
      </c>
      <c r="C153" s="20" t="s">
        <v>732</v>
      </c>
      <c r="D153" s="20" t="s">
        <v>397</v>
      </c>
      <c r="E153" s="20" t="s">
        <v>723</v>
      </c>
      <c r="F153" s="20" t="s">
        <v>698</v>
      </c>
      <c r="G153" s="20" t="s">
        <v>704</v>
      </c>
      <c r="H153" s="20" t="s">
        <v>716</v>
      </c>
      <c r="I153" s="20" t="s">
        <v>467</v>
      </c>
      <c r="J153" s="20" t="s">
        <v>47</v>
      </c>
      <c r="K153" s="20" t="s">
        <v>47</v>
      </c>
      <c r="L153" s="45" t="s">
        <v>875</v>
      </c>
      <c r="M153" s="45" t="s">
        <v>883</v>
      </c>
      <c r="N153" s="45">
        <v>500</v>
      </c>
      <c r="O153" s="45"/>
      <c r="P153" s="45"/>
      <c r="Q153" s="45"/>
      <c r="R153" s="45"/>
      <c r="S153" s="45"/>
      <c r="T153" s="45"/>
      <c r="U153" s="45"/>
      <c r="V153" s="45"/>
      <c r="W153" s="45"/>
    </row>
    <row r="154" spans="2:23" s="7" customFormat="1" ht="76.5" hidden="1" x14ac:dyDescent="0.25">
      <c r="B154" s="13" t="s">
        <v>398</v>
      </c>
      <c r="C154" s="28"/>
      <c r="D154" s="28" t="s">
        <v>399</v>
      </c>
      <c r="E154" s="13"/>
      <c r="F154" s="13"/>
      <c r="G154" s="13"/>
      <c r="H154" s="28"/>
      <c r="I154" s="28"/>
      <c r="J154" s="13"/>
      <c r="K154" s="13"/>
      <c r="L154" s="49"/>
      <c r="M154" s="48"/>
      <c r="N154" s="48"/>
      <c r="O154" s="49"/>
      <c r="P154" s="49"/>
      <c r="Q154" s="49"/>
      <c r="R154" s="48"/>
      <c r="S154" s="48"/>
      <c r="T154" s="49"/>
      <c r="U154" s="49"/>
      <c r="V154" s="49"/>
      <c r="W154" s="48"/>
    </row>
    <row r="155" spans="2:23" s="7" customFormat="1" ht="51" hidden="1" x14ac:dyDescent="0.25">
      <c r="B155" s="30" t="s">
        <v>400</v>
      </c>
      <c r="C155" s="30"/>
      <c r="D155" s="30" t="s">
        <v>401</v>
      </c>
      <c r="E155" s="30"/>
      <c r="F155" s="30"/>
      <c r="G155" s="30"/>
      <c r="H155" s="30"/>
      <c r="I155" s="30"/>
      <c r="J155" s="30"/>
      <c r="K155" s="30"/>
      <c r="L155" s="50"/>
      <c r="M155" s="50"/>
      <c r="N155" s="50"/>
      <c r="O155" s="50"/>
      <c r="P155" s="50"/>
      <c r="Q155" s="50"/>
      <c r="R155" s="50"/>
      <c r="S155" s="50"/>
      <c r="T155" s="50"/>
      <c r="U155" s="50"/>
      <c r="V155" s="50"/>
      <c r="W155" s="50"/>
    </row>
    <row r="156" spans="2:23" s="7" customFormat="1" ht="114.75" hidden="1" x14ac:dyDescent="0.25">
      <c r="B156" s="20" t="s">
        <v>402</v>
      </c>
      <c r="C156" s="20" t="s">
        <v>736</v>
      </c>
      <c r="D156" s="20" t="s">
        <v>403</v>
      </c>
      <c r="E156" s="20" t="s">
        <v>463</v>
      </c>
      <c r="F156" s="20" t="s">
        <v>733</v>
      </c>
      <c r="G156" s="20" t="s">
        <v>470</v>
      </c>
      <c r="H156" s="20" t="s">
        <v>734</v>
      </c>
      <c r="I156" s="20" t="s">
        <v>467</v>
      </c>
      <c r="J156" s="20" t="s">
        <v>47</v>
      </c>
      <c r="K156" s="20" t="s">
        <v>47</v>
      </c>
      <c r="L156" s="45" t="s">
        <v>884</v>
      </c>
      <c r="M156" s="45" t="s">
        <v>885</v>
      </c>
      <c r="N156" s="45">
        <v>1</v>
      </c>
      <c r="O156" s="45" t="s">
        <v>886</v>
      </c>
      <c r="P156" s="45" t="s">
        <v>887</v>
      </c>
      <c r="Q156" s="45">
        <v>55</v>
      </c>
      <c r="R156" s="45" t="s">
        <v>888</v>
      </c>
      <c r="S156" s="45" t="s">
        <v>889</v>
      </c>
      <c r="T156" s="45">
        <v>40</v>
      </c>
      <c r="U156" s="45"/>
      <c r="V156" s="45"/>
      <c r="W156" s="45"/>
    </row>
    <row r="157" spans="2:23" s="7" customFormat="1" ht="114.75" hidden="1" x14ac:dyDescent="0.25">
      <c r="B157" s="20" t="s">
        <v>404</v>
      </c>
      <c r="C157" s="20" t="s">
        <v>737</v>
      </c>
      <c r="D157" s="20" t="s">
        <v>405</v>
      </c>
      <c r="E157" s="20" t="s">
        <v>405</v>
      </c>
      <c r="F157" s="20" t="s">
        <v>733</v>
      </c>
      <c r="G157" s="20" t="s">
        <v>553</v>
      </c>
      <c r="H157" s="20" t="s">
        <v>734</v>
      </c>
      <c r="I157" s="20" t="s">
        <v>467</v>
      </c>
      <c r="J157" s="20" t="s">
        <v>47</v>
      </c>
      <c r="K157" s="20" t="s">
        <v>47</v>
      </c>
      <c r="L157" s="45" t="s">
        <v>884</v>
      </c>
      <c r="M157" s="45" t="s">
        <v>885</v>
      </c>
      <c r="N157" s="45">
        <v>1</v>
      </c>
      <c r="O157" s="45" t="s">
        <v>886</v>
      </c>
      <c r="P157" s="45" t="s">
        <v>887</v>
      </c>
      <c r="Q157" s="45">
        <v>43</v>
      </c>
      <c r="R157" s="45" t="s">
        <v>888</v>
      </c>
      <c r="S157" s="45" t="s">
        <v>889</v>
      </c>
      <c r="T157" s="45">
        <v>28</v>
      </c>
      <c r="U157" s="45"/>
      <c r="V157" s="45"/>
      <c r="W157" s="45"/>
    </row>
    <row r="158" spans="2:23" s="7" customFormat="1" ht="114.75" hidden="1" x14ac:dyDescent="0.25">
      <c r="B158" s="20" t="s">
        <v>406</v>
      </c>
      <c r="C158" s="20" t="s">
        <v>738</v>
      </c>
      <c r="D158" s="20" t="s">
        <v>407</v>
      </c>
      <c r="E158" s="20" t="s">
        <v>735</v>
      </c>
      <c r="F158" s="20" t="s">
        <v>733</v>
      </c>
      <c r="G158" s="20" t="s">
        <v>551</v>
      </c>
      <c r="H158" s="20" t="s">
        <v>734</v>
      </c>
      <c r="I158" s="20" t="s">
        <v>467</v>
      </c>
      <c r="J158" s="20" t="s">
        <v>47</v>
      </c>
      <c r="K158" s="20" t="s">
        <v>47</v>
      </c>
      <c r="L158" s="45" t="s">
        <v>884</v>
      </c>
      <c r="M158" s="45" t="s">
        <v>885</v>
      </c>
      <c r="N158" s="45">
        <v>1</v>
      </c>
      <c r="O158" s="45" t="s">
        <v>886</v>
      </c>
      <c r="P158" s="45" t="s">
        <v>887</v>
      </c>
      <c r="Q158" s="45">
        <v>18</v>
      </c>
      <c r="R158" s="45" t="s">
        <v>888</v>
      </c>
      <c r="S158" s="45" t="s">
        <v>889</v>
      </c>
      <c r="T158" s="45">
        <v>14</v>
      </c>
      <c r="U158" s="45"/>
      <c r="V158" s="45"/>
      <c r="W158" s="45"/>
    </row>
    <row r="159" spans="2:23" s="7" customFormat="1" ht="114.75" hidden="1" x14ac:dyDescent="0.25">
      <c r="B159" s="20" t="s">
        <v>408</v>
      </c>
      <c r="C159" s="20" t="s">
        <v>739</v>
      </c>
      <c r="D159" s="20" t="s">
        <v>409</v>
      </c>
      <c r="E159" s="20" t="s">
        <v>515</v>
      </c>
      <c r="F159" s="20" t="s">
        <v>733</v>
      </c>
      <c r="G159" s="20" t="s">
        <v>704</v>
      </c>
      <c r="H159" s="20" t="s">
        <v>734</v>
      </c>
      <c r="I159" s="20" t="s">
        <v>467</v>
      </c>
      <c r="J159" s="20" t="s">
        <v>468</v>
      </c>
      <c r="K159" s="20" t="s">
        <v>47</v>
      </c>
      <c r="L159" s="45" t="s">
        <v>884</v>
      </c>
      <c r="M159" s="45" t="s">
        <v>885</v>
      </c>
      <c r="N159" s="45">
        <v>1</v>
      </c>
      <c r="O159" s="45" t="s">
        <v>886</v>
      </c>
      <c r="P159" s="45" t="s">
        <v>887</v>
      </c>
      <c r="Q159" s="45">
        <v>20</v>
      </c>
      <c r="R159" s="45" t="s">
        <v>888</v>
      </c>
      <c r="S159" s="45" t="s">
        <v>889</v>
      </c>
      <c r="T159" s="45">
        <v>16</v>
      </c>
      <c r="U159" s="45"/>
      <c r="V159" s="45"/>
      <c r="W159" s="45"/>
    </row>
    <row r="160" spans="2:23" s="7" customFormat="1" ht="25.5" hidden="1" x14ac:dyDescent="0.25">
      <c r="B160" s="30" t="s">
        <v>410</v>
      </c>
      <c r="C160" s="30"/>
      <c r="D160" s="30" t="s">
        <v>411</v>
      </c>
      <c r="E160" s="30"/>
      <c r="F160" s="30"/>
      <c r="G160" s="30"/>
      <c r="H160" s="30"/>
      <c r="I160" s="30"/>
      <c r="J160" s="30"/>
      <c r="K160" s="30"/>
      <c r="L160" s="50"/>
      <c r="M160" s="50"/>
      <c r="N160" s="50"/>
      <c r="O160" s="50"/>
      <c r="P160" s="50"/>
      <c r="Q160" s="50"/>
      <c r="R160" s="50"/>
      <c r="S160" s="50"/>
      <c r="T160" s="50"/>
      <c r="U160" s="50"/>
      <c r="V160" s="50"/>
      <c r="W160" s="50"/>
    </row>
    <row r="161" spans="2:23" s="7" customFormat="1" ht="102" hidden="1" x14ac:dyDescent="0.25">
      <c r="B161" s="20" t="s">
        <v>412</v>
      </c>
      <c r="C161" s="20" t="s">
        <v>744</v>
      </c>
      <c r="D161" s="20" t="s">
        <v>413</v>
      </c>
      <c r="E161" s="20" t="s">
        <v>512</v>
      </c>
      <c r="F161" s="20" t="s">
        <v>733</v>
      </c>
      <c r="G161" s="20" t="s">
        <v>513</v>
      </c>
      <c r="H161" s="20" t="s">
        <v>740</v>
      </c>
      <c r="I161" s="20" t="s">
        <v>467</v>
      </c>
      <c r="J161" s="20" t="s">
        <v>468</v>
      </c>
      <c r="K161" s="20" t="s">
        <v>47</v>
      </c>
      <c r="L161" s="45" t="s">
        <v>890</v>
      </c>
      <c r="M161" s="45" t="s">
        <v>891</v>
      </c>
      <c r="N161" s="45">
        <v>11</v>
      </c>
      <c r="O161" s="45"/>
      <c r="P161" s="45"/>
      <c r="Q161" s="45"/>
      <c r="R161" s="45"/>
      <c r="S161" s="45"/>
      <c r="T161" s="45"/>
      <c r="U161" s="45"/>
      <c r="V161" s="45"/>
      <c r="W161" s="45"/>
    </row>
    <row r="162" spans="2:23" s="7" customFormat="1" ht="89.25" hidden="1" x14ac:dyDescent="0.25">
      <c r="B162" s="20" t="s">
        <v>414</v>
      </c>
      <c r="C162" s="20" t="s">
        <v>745</v>
      </c>
      <c r="D162" s="20" t="s">
        <v>741</v>
      </c>
      <c r="E162" s="20" t="s">
        <v>515</v>
      </c>
      <c r="F162" s="20" t="s">
        <v>733</v>
      </c>
      <c r="G162" s="20" t="s">
        <v>555</v>
      </c>
      <c r="H162" s="20" t="s">
        <v>740</v>
      </c>
      <c r="I162" s="20" t="s">
        <v>467</v>
      </c>
      <c r="J162" s="20" t="s">
        <v>468</v>
      </c>
      <c r="K162" s="20" t="s">
        <v>47</v>
      </c>
      <c r="L162" s="45" t="s">
        <v>890</v>
      </c>
      <c r="M162" s="45" t="s">
        <v>891</v>
      </c>
      <c r="N162" s="45">
        <v>20</v>
      </c>
      <c r="O162" s="45"/>
      <c r="P162" s="45"/>
      <c r="Q162" s="45"/>
      <c r="R162" s="45"/>
      <c r="S162" s="45"/>
      <c r="T162" s="45"/>
      <c r="U162" s="45"/>
      <c r="V162" s="45"/>
      <c r="W162" s="45"/>
    </row>
    <row r="163" spans="2:23" s="7" customFormat="1" ht="76.5" hidden="1" x14ac:dyDescent="0.25">
      <c r="B163" s="20" t="s">
        <v>416</v>
      </c>
      <c r="C163" s="20" t="s">
        <v>746</v>
      </c>
      <c r="D163" s="20" t="s">
        <v>417</v>
      </c>
      <c r="E163" s="20" t="s">
        <v>463</v>
      </c>
      <c r="F163" s="20" t="s">
        <v>733</v>
      </c>
      <c r="G163" s="20" t="s">
        <v>470</v>
      </c>
      <c r="H163" s="20" t="s">
        <v>740</v>
      </c>
      <c r="I163" s="20" t="s">
        <v>467</v>
      </c>
      <c r="J163" s="20" t="s">
        <v>47</v>
      </c>
      <c r="K163" s="20" t="s">
        <v>47</v>
      </c>
      <c r="L163" s="45" t="s">
        <v>890</v>
      </c>
      <c r="M163" s="45" t="s">
        <v>891</v>
      </c>
      <c r="N163" s="45">
        <v>20</v>
      </c>
      <c r="O163" s="45"/>
      <c r="P163" s="45"/>
      <c r="Q163" s="45"/>
      <c r="R163" s="45"/>
      <c r="S163" s="45"/>
      <c r="T163" s="45"/>
      <c r="U163" s="45"/>
      <c r="V163" s="45"/>
      <c r="W163" s="45"/>
    </row>
    <row r="164" spans="2:23" s="7" customFormat="1" ht="76.5" hidden="1" x14ac:dyDescent="0.25">
      <c r="B164" s="20" t="s">
        <v>418</v>
      </c>
      <c r="C164" s="20" t="s">
        <v>747</v>
      </c>
      <c r="D164" s="20" t="s">
        <v>419</v>
      </c>
      <c r="E164" s="20" t="s">
        <v>478</v>
      </c>
      <c r="F164" s="20" t="s">
        <v>733</v>
      </c>
      <c r="G164" s="20" t="s">
        <v>479</v>
      </c>
      <c r="H164" s="20" t="s">
        <v>740</v>
      </c>
      <c r="I164" s="20" t="s">
        <v>467</v>
      </c>
      <c r="J164" s="20" t="s">
        <v>47</v>
      </c>
      <c r="K164" s="20" t="s">
        <v>47</v>
      </c>
      <c r="L164" s="45" t="s">
        <v>890</v>
      </c>
      <c r="M164" s="45" t="s">
        <v>891</v>
      </c>
      <c r="N164" s="45">
        <v>12</v>
      </c>
      <c r="O164" s="45"/>
      <c r="P164" s="45"/>
      <c r="Q164" s="45"/>
      <c r="R164" s="45"/>
      <c r="S164" s="45"/>
      <c r="T164" s="45"/>
      <c r="U164" s="45"/>
      <c r="V164" s="45"/>
      <c r="W164" s="45"/>
    </row>
    <row r="165" spans="2:23" s="7" customFormat="1" ht="76.5" hidden="1" x14ac:dyDescent="0.25">
      <c r="B165" s="20" t="s">
        <v>420</v>
      </c>
      <c r="C165" s="20" t="s">
        <v>748</v>
      </c>
      <c r="D165" s="20" t="s">
        <v>421</v>
      </c>
      <c r="E165" s="20" t="s">
        <v>550</v>
      </c>
      <c r="F165" s="20" t="s">
        <v>733</v>
      </c>
      <c r="G165" s="20" t="s">
        <v>551</v>
      </c>
      <c r="H165" s="20" t="s">
        <v>740</v>
      </c>
      <c r="I165" s="20" t="s">
        <v>467</v>
      </c>
      <c r="J165" s="20" t="s">
        <v>47</v>
      </c>
      <c r="K165" s="20" t="s">
        <v>47</v>
      </c>
      <c r="L165" s="45" t="s">
        <v>890</v>
      </c>
      <c r="M165" s="45" t="s">
        <v>891</v>
      </c>
      <c r="N165" s="45">
        <v>12</v>
      </c>
      <c r="O165" s="45"/>
      <c r="P165" s="45"/>
      <c r="Q165" s="45"/>
      <c r="R165" s="45"/>
      <c r="S165" s="45"/>
      <c r="T165" s="45"/>
      <c r="U165" s="45"/>
      <c r="V165" s="45"/>
      <c r="W165" s="45"/>
    </row>
    <row r="166" spans="2:23" s="7" customFormat="1" ht="76.5" hidden="1" x14ac:dyDescent="0.25">
      <c r="B166" s="20" t="s">
        <v>422</v>
      </c>
      <c r="C166" s="20" t="s">
        <v>749</v>
      </c>
      <c r="D166" s="20" t="s">
        <v>423</v>
      </c>
      <c r="E166" s="20" t="s">
        <v>519</v>
      </c>
      <c r="F166" s="20" t="s">
        <v>733</v>
      </c>
      <c r="G166" s="20" t="s">
        <v>520</v>
      </c>
      <c r="H166" s="20" t="s">
        <v>740</v>
      </c>
      <c r="I166" s="20" t="s">
        <v>467</v>
      </c>
      <c r="J166" s="20" t="s">
        <v>47</v>
      </c>
      <c r="K166" s="20" t="s">
        <v>47</v>
      </c>
      <c r="L166" s="45" t="s">
        <v>890</v>
      </c>
      <c r="M166" s="45" t="s">
        <v>891</v>
      </c>
      <c r="N166" s="45">
        <v>20</v>
      </c>
      <c r="O166" s="45"/>
      <c r="P166" s="45"/>
      <c r="Q166" s="45"/>
      <c r="R166" s="45"/>
      <c r="S166" s="45"/>
      <c r="T166" s="45"/>
      <c r="U166" s="45"/>
      <c r="V166" s="45"/>
      <c r="W166" s="45"/>
    </row>
    <row r="167" spans="2:23" s="7" customFormat="1" ht="38.25" hidden="1" x14ac:dyDescent="0.25">
      <c r="B167" s="13" t="s">
        <v>424</v>
      </c>
      <c r="C167" s="28"/>
      <c r="D167" s="28" t="s">
        <v>425</v>
      </c>
      <c r="E167" s="13"/>
      <c r="F167" s="13"/>
      <c r="G167" s="13"/>
      <c r="H167" s="28"/>
      <c r="I167" s="28"/>
      <c r="J167" s="13"/>
      <c r="K167" s="13"/>
      <c r="L167" s="49"/>
      <c r="M167" s="48"/>
      <c r="N167" s="48"/>
      <c r="O167" s="49"/>
      <c r="P167" s="49"/>
      <c r="Q167" s="49"/>
      <c r="R167" s="48"/>
      <c r="S167" s="48"/>
      <c r="T167" s="49"/>
      <c r="U167" s="49"/>
      <c r="V167" s="49"/>
      <c r="W167" s="48"/>
    </row>
    <row r="168" spans="2:23" ht="63.75" hidden="1" x14ac:dyDescent="0.25">
      <c r="B168" s="30" t="s">
        <v>426</v>
      </c>
      <c r="C168" s="30"/>
      <c r="D168" s="30" t="s">
        <v>427</v>
      </c>
      <c r="E168" s="30"/>
      <c r="F168" s="30"/>
      <c r="G168" s="30"/>
      <c r="H168" s="30"/>
      <c r="I168" s="30"/>
      <c r="J168" s="30"/>
      <c r="K168" s="30"/>
      <c r="L168" s="50"/>
      <c r="M168" s="50"/>
      <c r="N168" s="50"/>
      <c r="O168" s="50"/>
      <c r="P168" s="50"/>
      <c r="Q168" s="50"/>
      <c r="R168" s="50"/>
      <c r="S168" s="50"/>
      <c r="T168" s="50"/>
      <c r="U168" s="50"/>
      <c r="V168" s="50"/>
      <c r="W168" s="50"/>
    </row>
    <row r="169" spans="2:23" ht="89.25" hidden="1" customHeight="1" x14ac:dyDescent="0.25">
      <c r="B169" s="20" t="s">
        <v>428</v>
      </c>
      <c r="C169" s="20" t="s">
        <v>761</v>
      </c>
      <c r="D169" s="45" t="s">
        <v>429</v>
      </c>
      <c r="E169" s="45" t="s">
        <v>512</v>
      </c>
      <c r="F169" s="45" t="s">
        <v>602</v>
      </c>
      <c r="G169" s="45" t="s">
        <v>513</v>
      </c>
      <c r="H169" s="45" t="s">
        <v>750</v>
      </c>
      <c r="I169" s="45" t="s">
        <v>467</v>
      </c>
      <c r="J169" s="45" t="s">
        <v>468</v>
      </c>
      <c r="K169" s="45" t="s">
        <v>47</v>
      </c>
      <c r="L169" s="45" t="s">
        <v>892</v>
      </c>
      <c r="M169" s="45" t="s">
        <v>893</v>
      </c>
      <c r="N169" s="45">
        <v>1</v>
      </c>
      <c r="O169" s="45"/>
      <c r="P169" s="45"/>
      <c r="Q169" s="45"/>
      <c r="R169" s="45"/>
      <c r="S169" s="45"/>
      <c r="T169" s="45"/>
      <c r="U169" s="45"/>
      <c r="V169" s="45"/>
      <c r="W169" s="45"/>
    </row>
    <row r="170" spans="2:23" s="7" customFormat="1" ht="99.75" hidden="1" customHeight="1" x14ac:dyDescent="0.25">
      <c r="B170" s="20" t="s">
        <v>759</v>
      </c>
      <c r="C170" s="20" t="s">
        <v>762</v>
      </c>
      <c r="D170" s="45" t="s">
        <v>751</v>
      </c>
      <c r="E170" s="45" t="s">
        <v>752</v>
      </c>
      <c r="F170" s="45" t="s">
        <v>602</v>
      </c>
      <c r="G170" s="45" t="s">
        <v>551</v>
      </c>
      <c r="H170" s="45" t="s">
        <v>750</v>
      </c>
      <c r="I170" s="45" t="s">
        <v>467</v>
      </c>
      <c r="J170" s="45" t="s">
        <v>468</v>
      </c>
      <c r="K170" s="45" t="s">
        <v>47</v>
      </c>
      <c r="L170" s="45" t="s">
        <v>892</v>
      </c>
      <c r="M170" s="45" t="s">
        <v>893</v>
      </c>
      <c r="N170" s="45">
        <v>1</v>
      </c>
      <c r="O170" s="45"/>
      <c r="P170" s="45"/>
      <c r="Q170" s="45"/>
      <c r="R170" s="45"/>
      <c r="S170" s="45"/>
      <c r="T170" s="45"/>
      <c r="U170" s="45"/>
      <c r="V170" s="45"/>
      <c r="W170" s="45"/>
    </row>
    <row r="171" spans="2:23" s="7" customFormat="1" ht="89.25" hidden="1" x14ac:dyDescent="0.25">
      <c r="B171" s="20" t="s">
        <v>432</v>
      </c>
      <c r="C171" s="20" t="s">
        <v>763</v>
      </c>
      <c r="D171" s="45" t="s">
        <v>433</v>
      </c>
      <c r="E171" s="45" t="s">
        <v>478</v>
      </c>
      <c r="F171" s="45" t="s">
        <v>602</v>
      </c>
      <c r="G171" s="45" t="s">
        <v>479</v>
      </c>
      <c r="H171" s="45" t="s">
        <v>750</v>
      </c>
      <c r="I171" s="45" t="s">
        <v>467</v>
      </c>
      <c r="J171" s="45" t="s">
        <v>468</v>
      </c>
      <c r="K171" s="45" t="s">
        <v>47</v>
      </c>
      <c r="L171" s="45" t="s">
        <v>892</v>
      </c>
      <c r="M171" s="45" t="s">
        <v>893</v>
      </c>
      <c r="N171" s="45">
        <v>1</v>
      </c>
      <c r="O171" s="45"/>
      <c r="P171" s="45"/>
      <c r="Q171" s="45"/>
      <c r="R171" s="45"/>
      <c r="S171" s="45"/>
      <c r="T171" s="45"/>
      <c r="U171" s="45"/>
      <c r="V171" s="45"/>
      <c r="W171" s="45"/>
    </row>
    <row r="172" spans="2:23" s="7" customFormat="1" ht="125.25" hidden="1" customHeight="1" x14ac:dyDescent="0.25">
      <c r="B172" s="20" t="s">
        <v>434</v>
      </c>
      <c r="C172" s="20" t="s">
        <v>764</v>
      </c>
      <c r="D172" s="45" t="s">
        <v>435</v>
      </c>
      <c r="E172" s="45" t="s">
        <v>754</v>
      </c>
      <c r="F172" s="45" t="s">
        <v>602</v>
      </c>
      <c r="G172" s="45" t="s">
        <v>555</v>
      </c>
      <c r="H172" s="45" t="s">
        <v>750</v>
      </c>
      <c r="I172" s="45" t="s">
        <v>467</v>
      </c>
      <c r="J172" s="45" t="s">
        <v>468</v>
      </c>
      <c r="K172" s="45" t="s">
        <v>47</v>
      </c>
      <c r="L172" s="45" t="s">
        <v>892</v>
      </c>
      <c r="M172" s="45" t="s">
        <v>893</v>
      </c>
      <c r="N172" s="45">
        <v>1</v>
      </c>
      <c r="O172" s="45"/>
      <c r="P172" s="45"/>
      <c r="Q172" s="45"/>
      <c r="R172" s="45"/>
      <c r="S172" s="45"/>
      <c r="T172" s="45"/>
      <c r="U172" s="45"/>
      <c r="V172" s="45"/>
      <c r="W172" s="45"/>
    </row>
    <row r="173" spans="2:23" s="7" customFormat="1" ht="63.75" hidden="1" x14ac:dyDescent="0.25">
      <c r="B173" s="20" t="s">
        <v>760</v>
      </c>
      <c r="C173" s="20" t="s">
        <v>765</v>
      </c>
      <c r="D173" s="45" t="s">
        <v>437</v>
      </c>
      <c r="E173" s="45" t="s">
        <v>755</v>
      </c>
      <c r="F173" s="45" t="s">
        <v>602</v>
      </c>
      <c r="G173" s="45" t="s">
        <v>756</v>
      </c>
      <c r="H173" s="45" t="s">
        <v>750</v>
      </c>
      <c r="I173" s="45" t="s">
        <v>467</v>
      </c>
      <c r="J173" s="45" t="s">
        <v>468</v>
      </c>
      <c r="K173" s="45" t="s">
        <v>47</v>
      </c>
      <c r="L173" s="45" t="s">
        <v>892</v>
      </c>
      <c r="M173" s="45" t="s">
        <v>893</v>
      </c>
      <c r="N173" s="45">
        <v>1</v>
      </c>
      <c r="O173" s="45"/>
      <c r="P173" s="45"/>
      <c r="Q173" s="45"/>
      <c r="R173" s="45"/>
      <c r="S173" s="45"/>
      <c r="T173" s="45"/>
      <c r="U173" s="45"/>
      <c r="V173" s="45"/>
      <c r="W173" s="45"/>
    </row>
    <row r="174" spans="2:23" s="7" customFormat="1" ht="51" hidden="1" x14ac:dyDescent="0.25">
      <c r="B174" s="20" t="s">
        <v>438</v>
      </c>
      <c r="C174" s="20" t="s">
        <v>766</v>
      </c>
      <c r="D174" s="45" t="s">
        <v>439</v>
      </c>
      <c r="E174" s="45" t="s">
        <v>757</v>
      </c>
      <c r="F174" s="45" t="s">
        <v>602</v>
      </c>
      <c r="G174" s="45" t="s">
        <v>520</v>
      </c>
      <c r="H174" s="45" t="s">
        <v>758</v>
      </c>
      <c r="I174" s="45" t="s">
        <v>467</v>
      </c>
      <c r="J174" s="45" t="s">
        <v>468</v>
      </c>
      <c r="K174" s="45" t="s">
        <v>47</v>
      </c>
      <c r="L174" s="45" t="s">
        <v>892</v>
      </c>
      <c r="M174" s="45" t="s">
        <v>893</v>
      </c>
      <c r="N174" s="45">
        <v>1</v>
      </c>
      <c r="O174" s="45"/>
      <c r="P174" s="45"/>
      <c r="Q174" s="45"/>
      <c r="R174" s="45"/>
      <c r="S174" s="45"/>
      <c r="T174" s="45"/>
      <c r="U174" s="45"/>
      <c r="V174" s="45"/>
      <c r="W174" s="45"/>
    </row>
    <row r="175" spans="2:23" ht="25.5" hidden="1" x14ac:dyDescent="0.25">
      <c r="B175" s="13" t="s">
        <v>440</v>
      </c>
      <c r="C175" s="28"/>
      <c r="D175" s="28" t="s">
        <v>441</v>
      </c>
      <c r="E175" s="13"/>
      <c r="F175" s="13"/>
      <c r="G175" s="28"/>
      <c r="H175" s="28"/>
      <c r="I175" s="13"/>
      <c r="J175" s="13"/>
      <c r="K175" s="28"/>
      <c r="L175" s="48"/>
      <c r="M175" s="49"/>
      <c r="N175" s="49"/>
      <c r="O175" s="48"/>
      <c r="P175" s="48"/>
      <c r="Q175" s="49"/>
      <c r="R175" s="49"/>
      <c r="S175" s="48"/>
      <c r="T175" s="48"/>
      <c r="U175" s="49"/>
      <c r="V175" s="49"/>
      <c r="W175" s="48"/>
    </row>
    <row r="176" spans="2:23" ht="63.75" hidden="1" x14ac:dyDescent="0.25">
      <c r="B176" s="30" t="s">
        <v>442</v>
      </c>
      <c r="C176" s="30"/>
      <c r="D176" s="30" t="s">
        <v>443</v>
      </c>
      <c r="E176" s="30"/>
      <c r="F176" s="30"/>
      <c r="G176" s="30"/>
      <c r="H176" s="30"/>
      <c r="I176" s="30"/>
      <c r="J176" s="30"/>
      <c r="K176" s="30"/>
      <c r="L176" s="50"/>
      <c r="M176" s="50"/>
      <c r="N176" s="50"/>
      <c r="O176" s="50"/>
      <c r="P176" s="50"/>
      <c r="Q176" s="50"/>
      <c r="R176" s="50"/>
      <c r="S176" s="50"/>
      <c r="T176" s="50"/>
      <c r="U176" s="50"/>
      <c r="V176" s="50"/>
      <c r="W176" s="50"/>
    </row>
    <row r="177" spans="2:23" s="7" customFormat="1" ht="242.25" hidden="1" x14ac:dyDescent="0.25">
      <c r="B177" s="20" t="s">
        <v>444</v>
      </c>
      <c r="C177" s="20" t="s">
        <v>781</v>
      </c>
      <c r="D177" s="20" t="s">
        <v>445</v>
      </c>
      <c r="E177" s="20" t="s">
        <v>515</v>
      </c>
      <c r="F177" s="20" t="s">
        <v>464</v>
      </c>
      <c r="G177" s="20" t="s">
        <v>767</v>
      </c>
      <c r="H177" s="20" t="s">
        <v>768</v>
      </c>
      <c r="I177" s="20" t="s">
        <v>467</v>
      </c>
      <c r="J177" s="20" t="s">
        <v>47</v>
      </c>
      <c r="K177" s="20" t="s">
        <v>47</v>
      </c>
      <c r="L177" s="45" t="s">
        <v>894</v>
      </c>
      <c r="M177" s="45" t="s">
        <v>895</v>
      </c>
      <c r="N177" s="45">
        <v>14</v>
      </c>
      <c r="O177" s="45" t="s">
        <v>896</v>
      </c>
      <c r="P177" s="45" t="s">
        <v>897</v>
      </c>
      <c r="Q177" s="45">
        <v>15</v>
      </c>
      <c r="R177" s="45" t="s">
        <v>898</v>
      </c>
      <c r="S177" s="45" t="s">
        <v>899</v>
      </c>
      <c r="T177" s="45">
        <v>1</v>
      </c>
      <c r="U177" s="45"/>
      <c r="V177" s="45"/>
      <c r="W177" s="45"/>
    </row>
    <row r="178" spans="2:23" ht="242.25" hidden="1" x14ac:dyDescent="0.25">
      <c r="B178" s="20" t="s">
        <v>446</v>
      </c>
      <c r="C178" s="20" t="s">
        <v>782</v>
      </c>
      <c r="D178" s="45" t="s">
        <v>447</v>
      </c>
      <c r="E178" s="45" t="s">
        <v>478</v>
      </c>
      <c r="F178" s="45" t="s">
        <v>464</v>
      </c>
      <c r="G178" s="45" t="s">
        <v>479</v>
      </c>
      <c r="H178" s="45" t="s">
        <v>768</v>
      </c>
      <c r="I178" s="45" t="s">
        <v>467</v>
      </c>
      <c r="J178" s="45" t="s">
        <v>47</v>
      </c>
      <c r="K178" s="45" t="s">
        <v>47</v>
      </c>
      <c r="L178" s="45" t="s">
        <v>894</v>
      </c>
      <c r="M178" s="45" t="s">
        <v>895</v>
      </c>
      <c r="N178" s="45">
        <v>1</v>
      </c>
      <c r="O178" s="45" t="s">
        <v>896</v>
      </c>
      <c r="P178" s="45" t="s">
        <v>897</v>
      </c>
      <c r="Q178" s="45">
        <v>15</v>
      </c>
      <c r="R178" s="45" t="s">
        <v>898</v>
      </c>
      <c r="S178" s="45" t="s">
        <v>899</v>
      </c>
      <c r="T178" s="45">
        <v>1</v>
      </c>
      <c r="U178" s="45"/>
      <c r="V178" s="45"/>
      <c r="W178" s="45"/>
    </row>
    <row r="179" spans="2:23" s="7" customFormat="1" ht="242.25" hidden="1" x14ac:dyDescent="0.25">
      <c r="B179" s="20" t="s">
        <v>778</v>
      </c>
      <c r="C179" s="20" t="s">
        <v>783</v>
      </c>
      <c r="D179" s="45" t="s">
        <v>449</v>
      </c>
      <c r="E179" s="45" t="s">
        <v>550</v>
      </c>
      <c r="F179" s="45" t="s">
        <v>464</v>
      </c>
      <c r="G179" s="45" t="s">
        <v>551</v>
      </c>
      <c r="H179" s="45" t="s">
        <v>768</v>
      </c>
      <c r="I179" s="45" t="s">
        <v>467</v>
      </c>
      <c r="J179" s="45" t="s">
        <v>47</v>
      </c>
      <c r="K179" s="45" t="s">
        <v>47</v>
      </c>
      <c r="L179" s="45" t="s">
        <v>894</v>
      </c>
      <c r="M179" s="45" t="s">
        <v>895</v>
      </c>
      <c r="N179" s="45">
        <v>13</v>
      </c>
      <c r="O179" s="45" t="s">
        <v>896</v>
      </c>
      <c r="P179" s="45" t="s">
        <v>897</v>
      </c>
      <c r="Q179" s="45">
        <v>25</v>
      </c>
      <c r="R179" s="45" t="s">
        <v>898</v>
      </c>
      <c r="S179" s="45" t="s">
        <v>899</v>
      </c>
      <c r="T179" s="45">
        <v>1</v>
      </c>
      <c r="U179" s="45"/>
      <c r="V179" s="45"/>
      <c r="W179" s="45"/>
    </row>
    <row r="180" spans="2:23" s="7" customFormat="1" ht="242.25" hidden="1" x14ac:dyDescent="0.25">
      <c r="B180" s="20" t="s">
        <v>450</v>
      </c>
      <c r="C180" s="20" t="s">
        <v>784</v>
      </c>
      <c r="D180" s="45" t="s">
        <v>451</v>
      </c>
      <c r="E180" s="45" t="s">
        <v>769</v>
      </c>
      <c r="F180" s="45" t="s">
        <v>464</v>
      </c>
      <c r="G180" s="45" t="s">
        <v>520</v>
      </c>
      <c r="H180" s="45" t="s">
        <v>770</v>
      </c>
      <c r="I180" s="45" t="s">
        <v>467</v>
      </c>
      <c r="J180" s="45" t="s">
        <v>47</v>
      </c>
      <c r="K180" s="45" t="s">
        <v>47</v>
      </c>
      <c r="L180" s="45" t="s">
        <v>894</v>
      </c>
      <c r="M180" s="45" t="s">
        <v>895</v>
      </c>
      <c r="N180" s="45">
        <v>3</v>
      </c>
      <c r="O180" s="45" t="s">
        <v>896</v>
      </c>
      <c r="P180" s="45" t="s">
        <v>900</v>
      </c>
      <c r="Q180" s="45">
        <v>15</v>
      </c>
      <c r="R180" s="45" t="s">
        <v>299</v>
      </c>
      <c r="S180" s="45"/>
      <c r="T180" s="45"/>
      <c r="U180" s="45"/>
      <c r="V180" s="45"/>
      <c r="W180" s="45"/>
    </row>
    <row r="181" spans="2:23" s="7" customFormat="1" ht="242.25" hidden="1" x14ac:dyDescent="0.25">
      <c r="B181" s="20" t="s">
        <v>779</v>
      </c>
      <c r="C181" s="20" t="s">
        <v>785</v>
      </c>
      <c r="D181" s="45" t="s">
        <v>453</v>
      </c>
      <c r="E181" s="45" t="s">
        <v>463</v>
      </c>
      <c r="F181" s="45" t="s">
        <v>464</v>
      </c>
      <c r="G181" s="45" t="s">
        <v>771</v>
      </c>
      <c r="H181" s="45" t="s">
        <v>770</v>
      </c>
      <c r="I181" s="45" t="s">
        <v>467</v>
      </c>
      <c r="J181" s="45" t="s">
        <v>47</v>
      </c>
      <c r="K181" s="45" t="s">
        <v>47</v>
      </c>
      <c r="L181" s="45" t="s">
        <v>894</v>
      </c>
      <c r="M181" s="45" t="s">
        <v>895</v>
      </c>
      <c r="N181" s="45">
        <v>2</v>
      </c>
      <c r="O181" s="45" t="s">
        <v>896</v>
      </c>
      <c r="P181" s="45" t="s">
        <v>900</v>
      </c>
      <c r="Q181" s="45">
        <v>20</v>
      </c>
      <c r="R181" s="45" t="s">
        <v>898</v>
      </c>
      <c r="S181" s="45" t="s">
        <v>899</v>
      </c>
      <c r="T181" s="45">
        <v>1</v>
      </c>
      <c r="U181" s="45"/>
      <c r="V181" s="45"/>
      <c r="W181" s="45"/>
    </row>
    <row r="182" spans="2:23" s="7" customFormat="1" ht="242.25" hidden="1" x14ac:dyDescent="0.25">
      <c r="B182" s="20" t="s">
        <v>780</v>
      </c>
      <c r="C182" s="20" t="s">
        <v>786</v>
      </c>
      <c r="D182" s="45" t="s">
        <v>455</v>
      </c>
      <c r="E182" s="45" t="s">
        <v>512</v>
      </c>
      <c r="F182" s="45" t="s">
        <v>464</v>
      </c>
      <c r="G182" s="45" t="s">
        <v>543</v>
      </c>
      <c r="H182" s="45" t="s">
        <v>770</v>
      </c>
      <c r="I182" s="45" t="s">
        <v>467</v>
      </c>
      <c r="J182" s="45" t="s">
        <v>47</v>
      </c>
      <c r="K182" s="45" t="s">
        <v>47</v>
      </c>
      <c r="L182" s="45" t="s">
        <v>894</v>
      </c>
      <c r="M182" s="45" t="s">
        <v>895</v>
      </c>
      <c r="N182" s="45">
        <v>2</v>
      </c>
      <c r="O182" s="45" t="s">
        <v>896</v>
      </c>
      <c r="P182" s="45" t="s">
        <v>900</v>
      </c>
      <c r="Q182" s="45">
        <v>15</v>
      </c>
      <c r="R182" s="45" t="s">
        <v>898</v>
      </c>
      <c r="S182" s="45" t="s">
        <v>899</v>
      </c>
      <c r="T182" s="45">
        <v>1</v>
      </c>
      <c r="U182" s="45"/>
      <c r="V182" s="45"/>
      <c r="W182" s="45"/>
    </row>
    <row r="183" spans="2:23" ht="242.25" hidden="1" x14ac:dyDescent="0.25">
      <c r="B183" s="20" t="s">
        <v>456</v>
      </c>
      <c r="C183" s="20" t="s">
        <v>787</v>
      </c>
      <c r="D183" s="45" t="s">
        <v>457</v>
      </c>
      <c r="E183" s="45" t="s">
        <v>769</v>
      </c>
      <c r="F183" s="45" t="s">
        <v>464</v>
      </c>
      <c r="G183" s="45" t="s">
        <v>520</v>
      </c>
      <c r="H183" s="45" t="s">
        <v>770</v>
      </c>
      <c r="I183" s="45" t="s">
        <v>467</v>
      </c>
      <c r="J183" s="45" t="s">
        <v>47</v>
      </c>
      <c r="K183" s="45" t="s">
        <v>47</v>
      </c>
      <c r="L183" s="45" t="s">
        <v>894</v>
      </c>
      <c r="M183" s="45" t="s">
        <v>895</v>
      </c>
      <c r="N183" s="45">
        <v>3</v>
      </c>
      <c r="O183" s="45" t="s">
        <v>896</v>
      </c>
      <c r="P183" s="45" t="s">
        <v>900</v>
      </c>
      <c r="Q183" s="45">
        <v>15</v>
      </c>
      <c r="R183" s="45" t="s">
        <v>299</v>
      </c>
      <c r="S183" s="45"/>
      <c r="T183" s="45"/>
      <c r="U183" s="45"/>
      <c r="V183" s="45"/>
      <c r="W183" s="45"/>
    </row>
    <row r="184" spans="2:23" ht="15.75" hidden="1" x14ac:dyDescent="0.25">
      <c r="B184" s="3" t="s">
        <v>70</v>
      </c>
      <c r="C184" s="7"/>
      <c r="D184" s="7"/>
      <c r="E184" s="7"/>
      <c r="F184" s="7"/>
      <c r="G184" s="7"/>
      <c r="H184" s="7"/>
      <c r="I184" s="7"/>
      <c r="J184" s="7"/>
      <c r="K184" s="7"/>
      <c r="L184" s="7"/>
      <c r="M184" s="7"/>
      <c r="N184" s="7"/>
      <c r="O184" s="7"/>
      <c r="P184" s="7"/>
      <c r="Q184" s="7"/>
      <c r="R184" s="7"/>
      <c r="S184" s="7"/>
      <c r="T184" s="7"/>
      <c r="U184" s="7"/>
      <c r="V184" s="7"/>
      <c r="W184" s="7"/>
    </row>
    <row r="185" spans="2:23" ht="27.75" customHeight="1" x14ac:dyDescent="0.25">
      <c r="B185" s="155"/>
      <c r="C185" s="155"/>
      <c r="D185" s="155"/>
      <c r="E185" s="155"/>
      <c r="F185" s="155"/>
      <c r="G185" s="155"/>
      <c r="H185" s="155"/>
      <c r="I185" s="155"/>
      <c r="J185" s="155"/>
      <c r="K185" s="155"/>
      <c r="L185" s="155"/>
      <c r="M185" s="155"/>
      <c r="N185" s="155"/>
      <c r="O185" s="155"/>
      <c r="P185" s="155"/>
      <c r="Q185" s="155"/>
      <c r="R185" s="155"/>
      <c r="S185" s="155"/>
      <c r="T185" s="155"/>
      <c r="U185" s="155"/>
      <c r="V185" s="155"/>
    </row>
  </sheetData>
  <autoFilter ref="B5:Z184"/>
  <mergeCells count="28">
    <mergeCell ref="B185:V185"/>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 ref="R7:R8"/>
    <mergeCell ref="T7:T8"/>
    <mergeCell ref="U7:U8"/>
    <mergeCell ref="W7:W8"/>
    <mergeCell ref="C7:C8"/>
    <mergeCell ref="D7:D8"/>
    <mergeCell ref="E7:E8"/>
    <mergeCell ref="F7:F8"/>
    <mergeCell ref="Q7:Q8"/>
    <mergeCell ref="G7:G8"/>
    <mergeCell ref="H7:H8"/>
    <mergeCell ref="I7:I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E67" sqref="E67"/>
    </sheetView>
  </sheetViews>
  <sheetFormatPr defaultRowHeight="15" x14ac:dyDescent="0.25"/>
  <cols>
    <col min="1" max="1" width="4.140625" style="7" customWidth="1"/>
    <col min="3" max="3" width="56" customWidth="1"/>
    <col min="4" max="4" width="49.5703125" customWidth="1"/>
  </cols>
  <sheetData>
    <row r="1" spans="2:7" s="7" customFormat="1" ht="15.75" x14ac:dyDescent="0.25">
      <c r="D1" s="146" t="s">
        <v>142</v>
      </c>
      <c r="E1" s="146"/>
      <c r="F1" s="146"/>
      <c r="G1" s="146"/>
    </row>
    <row r="2" spans="2:7" s="7" customFormat="1" ht="18" customHeight="1" x14ac:dyDescent="0.25">
      <c r="D2" s="147" t="s">
        <v>24</v>
      </c>
      <c r="E2" s="147"/>
      <c r="F2" s="147"/>
      <c r="G2" s="147"/>
    </row>
    <row r="3" spans="2:7" s="7" customFormat="1" ht="15.75" x14ac:dyDescent="0.25">
      <c r="D3" s="147" t="s">
        <v>25</v>
      </c>
      <c r="E3" s="147"/>
      <c r="F3" s="147"/>
      <c r="G3" s="147"/>
    </row>
    <row r="4" spans="2:7" s="7" customFormat="1" x14ac:dyDescent="0.25"/>
    <row r="5" spans="2:7" ht="15.75" x14ac:dyDescent="0.25">
      <c r="B5" s="8" t="s">
        <v>71</v>
      </c>
      <c r="C5" s="7"/>
      <c r="D5" s="7"/>
    </row>
    <row r="6" spans="2:7" ht="15" customHeight="1" x14ac:dyDescent="0.25">
      <c r="B6" s="26" t="s">
        <v>72</v>
      </c>
      <c r="C6" s="26" t="s">
        <v>140</v>
      </c>
      <c r="D6" s="26" t="s">
        <v>141</v>
      </c>
    </row>
    <row r="7" spans="2:7" ht="47.25" hidden="1" x14ac:dyDescent="0.25">
      <c r="B7" s="37" t="s">
        <v>821</v>
      </c>
      <c r="C7" s="37" t="s">
        <v>824</v>
      </c>
      <c r="D7" s="65">
        <f>'3 lentelė'!AE15</f>
        <v>3870</v>
      </c>
      <c r="F7" s="58"/>
    </row>
    <row r="8" spans="2:7" ht="15.75" hidden="1" x14ac:dyDescent="0.25">
      <c r="B8" s="76" t="s">
        <v>804</v>
      </c>
      <c r="C8" s="37" t="s">
        <v>805</v>
      </c>
      <c r="D8" s="120">
        <f>'3 lentelė'!AE16</f>
        <v>5.3719999999999999</v>
      </c>
      <c r="E8" s="112"/>
      <c r="F8" s="58"/>
    </row>
    <row r="9" spans="2:7" ht="31.5" hidden="1" x14ac:dyDescent="0.25">
      <c r="B9" s="76" t="s">
        <v>867</v>
      </c>
      <c r="C9" s="37" t="s">
        <v>868</v>
      </c>
      <c r="D9" s="121">
        <f>'3 lentelė'!AE14</f>
        <v>2311</v>
      </c>
      <c r="E9" s="112"/>
      <c r="F9" s="58"/>
    </row>
    <row r="10" spans="2:7" s="112" customFormat="1" ht="15.75" x14ac:dyDescent="0.25">
      <c r="B10" s="138" t="s">
        <v>788</v>
      </c>
      <c r="C10" s="139" t="s">
        <v>931</v>
      </c>
      <c r="D10" s="141">
        <f>'3 lentelė'!AE13</f>
        <v>492750.5</v>
      </c>
      <c r="F10" s="125"/>
    </row>
    <row r="11" spans="2:7" s="112" customFormat="1" ht="31.5" x14ac:dyDescent="0.25">
      <c r="B11" s="138" t="s">
        <v>790</v>
      </c>
      <c r="C11" s="139" t="s">
        <v>932</v>
      </c>
      <c r="D11" s="141">
        <f>'3 lentelė'!AE18</f>
        <v>2140</v>
      </c>
      <c r="F11" s="125"/>
    </row>
    <row r="12" spans="2:7" s="112" customFormat="1" ht="31.5" hidden="1" x14ac:dyDescent="0.25">
      <c r="B12" s="138" t="s">
        <v>843</v>
      </c>
      <c r="C12" s="139" t="s">
        <v>844</v>
      </c>
      <c r="D12" s="141">
        <f>'3 lentelė'!AE19</f>
        <v>20.25</v>
      </c>
      <c r="F12" s="125"/>
    </row>
    <row r="13" spans="2:7" s="112" customFormat="1" ht="31.5" hidden="1" x14ac:dyDescent="0.25">
      <c r="B13" s="138" t="s">
        <v>829</v>
      </c>
      <c r="C13" s="139" t="s">
        <v>839</v>
      </c>
      <c r="D13" s="141">
        <f>'3 lentelė'!AE20</f>
        <v>1518</v>
      </c>
      <c r="F13" s="125"/>
    </row>
    <row r="14" spans="2:7" s="112" customFormat="1" ht="47.25" hidden="1" x14ac:dyDescent="0.25">
      <c r="B14" s="138" t="s">
        <v>831</v>
      </c>
      <c r="C14" s="139" t="s">
        <v>933</v>
      </c>
      <c r="D14" s="141">
        <f>'3 lentelė'!AE21</f>
        <v>1202</v>
      </c>
      <c r="F14" s="125"/>
    </row>
    <row r="15" spans="2:7" s="112" customFormat="1" ht="31.5" hidden="1" x14ac:dyDescent="0.25">
      <c r="B15" s="138" t="s">
        <v>833</v>
      </c>
      <c r="C15" s="139" t="s">
        <v>934</v>
      </c>
      <c r="D15" s="141">
        <f>'3 lentelė'!AE22</f>
        <v>2059</v>
      </c>
      <c r="F15" s="125"/>
    </row>
    <row r="16" spans="2:7" s="112" customFormat="1" ht="47.25" x14ac:dyDescent="0.25">
      <c r="B16" s="138" t="s">
        <v>835</v>
      </c>
      <c r="C16" s="139" t="s">
        <v>838</v>
      </c>
      <c r="D16" s="141">
        <f>'3 lentelė'!AE23</f>
        <v>849</v>
      </c>
      <c r="F16" s="125"/>
    </row>
    <row r="17" spans="2:6" s="112" customFormat="1" ht="47.25" hidden="1" x14ac:dyDescent="0.25">
      <c r="B17" s="138" t="s">
        <v>851</v>
      </c>
      <c r="C17" s="139" t="s">
        <v>935</v>
      </c>
      <c r="D17" s="141">
        <f>'3 lentelė'!AE24</f>
        <v>5</v>
      </c>
      <c r="F17" s="125"/>
    </row>
    <row r="18" spans="2:6" s="112" customFormat="1" ht="31.5" x14ac:dyDescent="0.25">
      <c r="B18" s="138" t="s">
        <v>853</v>
      </c>
      <c r="C18" s="139" t="s">
        <v>854</v>
      </c>
      <c r="D18" s="141">
        <f>'3 lentelė'!AE25</f>
        <v>170</v>
      </c>
      <c r="F18" s="125"/>
    </row>
    <row r="19" spans="2:6" s="112" customFormat="1" ht="15.75" hidden="1" customHeight="1" x14ac:dyDescent="0.25">
      <c r="B19" s="138" t="s">
        <v>892</v>
      </c>
      <c r="C19" s="139" t="s">
        <v>936</v>
      </c>
      <c r="D19" s="141">
        <f>'3 lentelė'!AE26</f>
        <v>6</v>
      </c>
      <c r="F19" s="125"/>
    </row>
    <row r="20" spans="2:6" s="112" customFormat="1" ht="31.5" hidden="1" customHeight="1" x14ac:dyDescent="0.25">
      <c r="B20" s="138" t="s">
        <v>886</v>
      </c>
      <c r="C20" s="139" t="s">
        <v>887</v>
      </c>
      <c r="D20" s="141">
        <f>'3 lentelė'!AE27</f>
        <v>136</v>
      </c>
      <c r="F20" s="125"/>
    </row>
    <row r="21" spans="2:6" s="112" customFormat="1" ht="15.75" hidden="1" customHeight="1" x14ac:dyDescent="0.25">
      <c r="B21" s="138" t="s">
        <v>815</v>
      </c>
      <c r="C21" s="139" t="s">
        <v>937</v>
      </c>
      <c r="D21" s="141">
        <f>'3 lentelė'!AE28</f>
        <v>3</v>
      </c>
      <c r="F21" s="125"/>
    </row>
    <row r="22" spans="2:6" s="112" customFormat="1" ht="15.75" hidden="1" customHeight="1" x14ac:dyDescent="0.25">
      <c r="B22" s="138" t="s">
        <v>799</v>
      </c>
      <c r="C22" s="139" t="s">
        <v>938</v>
      </c>
      <c r="D22" s="142">
        <f>'3 lentelė'!AE29</f>
        <v>0.58599999999999997</v>
      </c>
      <c r="F22" s="125"/>
    </row>
    <row r="23" spans="2:6" s="112" customFormat="1" ht="15.75" hidden="1" customHeight="1" x14ac:dyDescent="0.25">
      <c r="B23" s="138" t="s">
        <v>877</v>
      </c>
      <c r="C23" s="139" t="s">
        <v>878</v>
      </c>
      <c r="D23" s="141">
        <f>'3 lentelė'!AE30</f>
        <v>1</v>
      </c>
      <c r="F23" s="125"/>
    </row>
    <row r="24" spans="2:6" s="112" customFormat="1" ht="31.5" hidden="1" customHeight="1" x14ac:dyDescent="0.25">
      <c r="B24" s="138" t="s">
        <v>863</v>
      </c>
      <c r="C24" s="139" t="s">
        <v>939</v>
      </c>
      <c r="D24" s="141">
        <f>'3 lentelė'!AE31</f>
        <v>2</v>
      </c>
      <c r="F24" s="125"/>
    </row>
    <row r="25" spans="2:6" s="112" customFormat="1" ht="31.5" hidden="1" customHeight="1" x14ac:dyDescent="0.25">
      <c r="B25" s="138" t="s">
        <v>869</v>
      </c>
      <c r="C25" s="139" t="s">
        <v>940</v>
      </c>
      <c r="D25" s="141">
        <f>'3 lentelė'!AE32</f>
        <v>3</v>
      </c>
      <c r="F25" s="125"/>
    </row>
    <row r="26" spans="2:6" s="112" customFormat="1" ht="31.5" hidden="1" customHeight="1" x14ac:dyDescent="0.25">
      <c r="B26" s="138" t="s">
        <v>871</v>
      </c>
      <c r="C26" s="139" t="s">
        <v>872</v>
      </c>
      <c r="D26" s="141">
        <f>'3 lentelė'!AE33</f>
        <v>2</v>
      </c>
      <c r="F26" s="125"/>
    </row>
    <row r="27" spans="2:6" s="112" customFormat="1" ht="15.75" hidden="1" customHeight="1" x14ac:dyDescent="0.25">
      <c r="B27" s="138" t="s">
        <v>825</v>
      </c>
      <c r="C27" s="139" t="s">
        <v>826</v>
      </c>
      <c r="D27" s="141">
        <f>'3 lentelė'!AE34</f>
        <v>86</v>
      </c>
      <c r="F27" s="125"/>
    </row>
    <row r="28" spans="2:6" s="112" customFormat="1" ht="15.75" hidden="1" customHeight="1" x14ac:dyDescent="0.25">
      <c r="B28" s="138" t="s">
        <v>941</v>
      </c>
      <c r="C28" s="139" t="s">
        <v>899</v>
      </c>
      <c r="D28" s="141">
        <f>'3 lentelė'!AE35</f>
        <v>5</v>
      </c>
      <c r="F28" s="125"/>
    </row>
    <row r="29" spans="2:6" s="112" customFormat="1" ht="31.5" hidden="1" customHeight="1" x14ac:dyDescent="0.25">
      <c r="B29" s="138" t="s">
        <v>942</v>
      </c>
      <c r="C29" s="139" t="s">
        <v>943</v>
      </c>
      <c r="D29" s="141">
        <f>'3 lentelė'!AE36</f>
        <v>0</v>
      </c>
      <c r="F29" s="125"/>
    </row>
    <row r="30" spans="2:6" s="112" customFormat="1" ht="31.5" hidden="1" customHeight="1" x14ac:dyDescent="0.25">
      <c r="B30" s="138" t="s">
        <v>807</v>
      </c>
      <c r="C30" s="139" t="s">
        <v>808</v>
      </c>
      <c r="D30" s="141">
        <f>'3 lentelė'!AE37</f>
        <v>1.56</v>
      </c>
      <c r="F30" s="125"/>
    </row>
    <row r="31" spans="2:6" s="112" customFormat="1" ht="15.75" hidden="1" customHeight="1" x14ac:dyDescent="0.25">
      <c r="B31" s="138" t="s">
        <v>944</v>
      </c>
      <c r="C31" s="139" t="s">
        <v>811</v>
      </c>
      <c r="D31" s="141">
        <f>'3 lentelė'!AE38</f>
        <v>1.6</v>
      </c>
      <c r="F31" s="125"/>
    </row>
    <row r="32" spans="2:6" s="112" customFormat="1" ht="15.75" hidden="1" customHeight="1" x14ac:dyDescent="0.25">
      <c r="B32" s="138" t="s">
        <v>945</v>
      </c>
      <c r="C32" s="139" t="s">
        <v>946</v>
      </c>
      <c r="D32" s="141">
        <f>'3 lentelė'!AE39</f>
        <v>3</v>
      </c>
      <c r="F32" s="125"/>
    </row>
    <row r="33" spans="2:6" s="112" customFormat="1" ht="31.5" hidden="1" x14ac:dyDescent="0.25">
      <c r="B33" s="138" t="s">
        <v>817</v>
      </c>
      <c r="C33" s="139" t="s">
        <v>947</v>
      </c>
      <c r="D33" s="141">
        <f>'3 lentelė'!AE40</f>
        <v>4</v>
      </c>
      <c r="F33" s="125"/>
    </row>
    <row r="34" spans="2:6" s="112" customFormat="1" ht="47.25" hidden="1" x14ac:dyDescent="0.25">
      <c r="B34" s="138" t="s">
        <v>841</v>
      </c>
      <c r="C34" s="139" t="s">
        <v>842</v>
      </c>
      <c r="D34" s="141">
        <f>'3 lentelė'!AE41</f>
        <v>124.5</v>
      </c>
      <c r="F34" s="125"/>
    </row>
    <row r="35" spans="2:6" s="112" customFormat="1" ht="31.5" hidden="1" x14ac:dyDescent="0.25">
      <c r="B35" s="138" t="s">
        <v>846</v>
      </c>
      <c r="C35" s="139" t="s">
        <v>850</v>
      </c>
      <c r="D35" s="141">
        <f>'3 lentelė'!AE42</f>
        <v>6069</v>
      </c>
      <c r="F35" s="125"/>
    </row>
    <row r="36" spans="2:6" s="112" customFormat="1" ht="31.5" hidden="1" x14ac:dyDescent="0.25">
      <c r="B36" s="138" t="s">
        <v>827</v>
      </c>
      <c r="C36" s="139" t="s">
        <v>828</v>
      </c>
      <c r="D36" s="141">
        <f>'3 lentelė'!AE43</f>
        <v>28.57</v>
      </c>
      <c r="F36" s="125"/>
    </row>
    <row r="37" spans="2:6" s="112" customFormat="1" ht="31.5" hidden="1" x14ac:dyDescent="0.25">
      <c r="B37" s="138" t="s">
        <v>819</v>
      </c>
      <c r="C37" s="139" t="s">
        <v>823</v>
      </c>
      <c r="D37" s="141">
        <f>'3 lentelė'!AE44</f>
        <v>4</v>
      </c>
      <c r="F37" s="125"/>
    </row>
    <row r="38" spans="2:6" s="112" customFormat="1" ht="31.5" x14ac:dyDescent="0.25">
      <c r="B38" s="138" t="s">
        <v>857</v>
      </c>
      <c r="C38" s="139" t="s">
        <v>859</v>
      </c>
      <c r="D38" s="141">
        <f>'3 lentelė'!AE45</f>
        <v>6</v>
      </c>
      <c r="F38" s="125"/>
    </row>
    <row r="39" spans="2:6" s="112" customFormat="1" ht="31.5" hidden="1" x14ac:dyDescent="0.25">
      <c r="B39" s="138" t="s">
        <v>802</v>
      </c>
      <c r="C39" s="139" t="s">
        <v>803</v>
      </c>
      <c r="D39" s="141">
        <f>'3 lentelė'!AE46</f>
        <v>4</v>
      </c>
      <c r="F39" s="125"/>
    </row>
    <row r="40" spans="2:6" s="112" customFormat="1" ht="15.75" hidden="1" x14ac:dyDescent="0.25">
      <c r="B40" s="138" t="s">
        <v>884</v>
      </c>
      <c r="C40" s="139" t="s">
        <v>948</v>
      </c>
      <c r="D40" s="141">
        <f>'3 lentelė'!AE47</f>
        <v>4</v>
      </c>
      <c r="F40" s="125"/>
    </row>
    <row r="41" spans="2:6" s="112" customFormat="1" ht="15.75" hidden="1" x14ac:dyDescent="0.25">
      <c r="B41" s="138" t="s">
        <v>890</v>
      </c>
      <c r="C41" s="139" t="s">
        <v>891</v>
      </c>
      <c r="D41" s="141">
        <f>'3 lentelė'!AE48</f>
        <v>95</v>
      </c>
      <c r="F41" s="125"/>
    </row>
    <row r="42" spans="2:6" s="112" customFormat="1" ht="31.5" hidden="1" x14ac:dyDescent="0.25">
      <c r="B42" s="138" t="s">
        <v>795</v>
      </c>
      <c r="C42" s="139" t="s">
        <v>796</v>
      </c>
      <c r="D42" s="141">
        <f>'3 lentelė'!AE49</f>
        <v>34500</v>
      </c>
      <c r="F42" s="125"/>
    </row>
    <row r="43" spans="2:6" s="112" customFormat="1" ht="31.5" hidden="1" x14ac:dyDescent="0.25">
      <c r="B43" s="138" t="s">
        <v>797</v>
      </c>
      <c r="C43" s="139" t="s">
        <v>798</v>
      </c>
      <c r="D43" s="141">
        <f>'3 lentelė'!AE50</f>
        <v>58</v>
      </c>
      <c r="F43" s="125"/>
    </row>
    <row r="44" spans="2:6" s="112" customFormat="1" ht="47.25" hidden="1" x14ac:dyDescent="0.25">
      <c r="B44" s="138" t="s">
        <v>875</v>
      </c>
      <c r="C44" s="139" t="s">
        <v>949</v>
      </c>
      <c r="D44" s="141">
        <f>'3 lentelė'!AE51</f>
        <v>8682</v>
      </c>
      <c r="F44" s="125"/>
    </row>
    <row r="45" spans="2:6" s="112" customFormat="1" ht="47.25" hidden="1" x14ac:dyDescent="0.25">
      <c r="B45" s="138" t="s">
        <v>950</v>
      </c>
      <c r="C45" s="139" t="s">
        <v>951</v>
      </c>
      <c r="D45" s="141">
        <f>'3 lentelė'!AE52</f>
        <v>0</v>
      </c>
      <c r="F45" s="125"/>
    </row>
    <row r="46" spans="2:6" s="112" customFormat="1" ht="47.25" hidden="1" x14ac:dyDescent="0.25">
      <c r="B46" s="138" t="s">
        <v>894</v>
      </c>
      <c r="C46" s="139" t="s">
        <v>895</v>
      </c>
      <c r="D46" s="141">
        <f>'3 lentelė'!AE53</f>
        <v>38</v>
      </c>
      <c r="F46" s="125"/>
    </row>
    <row r="47" spans="2:6" s="112" customFormat="1" ht="63" hidden="1" x14ac:dyDescent="0.25">
      <c r="B47" s="138" t="s">
        <v>896</v>
      </c>
      <c r="C47" s="139" t="s">
        <v>900</v>
      </c>
      <c r="D47" s="141">
        <f>'3 lentelė'!AE54</f>
        <v>120</v>
      </c>
      <c r="F47" s="125"/>
    </row>
    <row r="48" spans="2:6" s="112" customFormat="1" ht="31.5" x14ac:dyDescent="0.25">
      <c r="B48" s="138" t="s">
        <v>855</v>
      </c>
      <c r="C48" s="139" t="s">
        <v>856</v>
      </c>
      <c r="D48" s="141">
        <f>'3 lentelė'!AE55</f>
        <v>131.09</v>
      </c>
      <c r="F48" s="125"/>
    </row>
    <row r="49" spans="2:6" ht="31.5" hidden="1" x14ac:dyDescent="0.25">
      <c r="B49" s="76" t="s">
        <v>888</v>
      </c>
      <c r="C49" s="37" t="s">
        <v>889</v>
      </c>
      <c r="D49" s="121">
        <f>'3 lentelė'!AE56</f>
        <v>98</v>
      </c>
      <c r="E49" s="112"/>
      <c r="F49" s="58"/>
    </row>
    <row r="50" spans="2:6" ht="31.5" hidden="1" x14ac:dyDescent="0.25">
      <c r="B50" s="76" t="s">
        <v>801</v>
      </c>
      <c r="C50" s="37" t="s">
        <v>952</v>
      </c>
      <c r="D50" s="37">
        <f>'3 lentelė'!AE57</f>
        <v>0</v>
      </c>
      <c r="E50" s="112"/>
      <c r="F50" s="58"/>
    </row>
    <row r="51" spans="2:6" ht="31.5" hidden="1" x14ac:dyDescent="0.25">
      <c r="B51" s="37" t="s">
        <v>865</v>
      </c>
      <c r="C51" s="37" t="s">
        <v>866</v>
      </c>
      <c r="D51" s="37">
        <f>'3 lentelė'!AE58</f>
        <v>6</v>
      </c>
      <c r="E51" s="112"/>
      <c r="F51" s="58"/>
    </row>
    <row r="52" spans="2:6" ht="15.75" hidden="1" x14ac:dyDescent="0.25">
      <c r="B52" s="37" t="s">
        <v>860</v>
      </c>
      <c r="C52" s="37" t="s">
        <v>861</v>
      </c>
      <c r="D52" s="37">
        <f>'3 lentelė'!AE59</f>
        <v>2</v>
      </c>
      <c r="E52" s="112"/>
      <c r="F52" s="58"/>
    </row>
    <row r="53" spans="2:6" ht="63" hidden="1" x14ac:dyDescent="0.25">
      <c r="B53" s="37" t="s">
        <v>873</v>
      </c>
      <c r="C53" s="37" t="s">
        <v>964</v>
      </c>
      <c r="D53" s="37">
        <v>101</v>
      </c>
      <c r="E53" s="112"/>
      <c r="F53" s="58"/>
    </row>
    <row r="54" spans="2:6" ht="15.75" hidden="1" x14ac:dyDescent="0.25">
      <c r="B54" s="37" t="s">
        <v>962</v>
      </c>
      <c r="C54" s="37" t="s">
        <v>963</v>
      </c>
      <c r="D54" s="121">
        <f>'3 lentelė'!AE61</f>
        <v>9</v>
      </c>
      <c r="E54" s="112"/>
    </row>
    <row r="55" spans="2:6" ht="31.5" hidden="1" x14ac:dyDescent="0.25">
      <c r="B55" s="76" t="s">
        <v>1009</v>
      </c>
      <c r="C55" s="37" t="s">
        <v>1010</v>
      </c>
      <c r="D55" s="121">
        <f>'3 lentelė'!AE62</f>
        <v>106548</v>
      </c>
      <c r="E55" s="112"/>
    </row>
    <row r="56" spans="2:6" ht="47.25" hidden="1" x14ac:dyDescent="0.25">
      <c r="B56" s="76" t="s">
        <v>1011</v>
      </c>
      <c r="C56" s="37" t="s">
        <v>1012</v>
      </c>
      <c r="D56" s="121">
        <f>'3 lentelė'!AE63</f>
        <v>8</v>
      </c>
      <c r="E56" s="112"/>
    </row>
    <row r="57" spans="2:6" ht="15.75" x14ac:dyDescent="0.25">
      <c r="B57" s="54"/>
      <c r="C57" s="54"/>
      <c r="D57" s="54"/>
    </row>
    <row r="58" spans="2:6" ht="15.75" x14ac:dyDescent="0.25">
      <c r="B58" s="54"/>
      <c r="C58" s="54"/>
      <c r="D58" s="54"/>
    </row>
    <row r="59" spans="2:6" ht="15.75" x14ac:dyDescent="0.25">
      <c r="B59" s="54"/>
      <c r="C59" s="54"/>
      <c r="D59" s="54"/>
    </row>
    <row r="60" spans="2:6" ht="15.75" x14ac:dyDescent="0.25">
      <c r="B60" s="54"/>
      <c r="C60" s="54"/>
      <c r="D60" s="54"/>
    </row>
    <row r="61" spans="2:6" ht="15.75" x14ac:dyDescent="0.25">
      <c r="B61" s="54"/>
      <c r="C61" s="54"/>
      <c r="D61" s="54"/>
    </row>
    <row r="62" spans="2:6" ht="15.75" x14ac:dyDescent="0.25">
      <c r="B62" s="54"/>
      <c r="C62" s="54"/>
      <c r="D62" s="54"/>
    </row>
    <row r="63" spans="2:6" ht="15.75" x14ac:dyDescent="0.25">
      <c r="B63" s="54"/>
      <c r="C63" s="54"/>
      <c r="D63" s="54"/>
    </row>
    <row r="64" spans="2:6" ht="15.75" x14ac:dyDescent="0.25">
      <c r="B64" s="54"/>
      <c r="C64" s="54"/>
      <c r="D64" s="54"/>
    </row>
    <row r="65" spans="2:4" ht="15.75" x14ac:dyDescent="0.25">
      <c r="B65" s="54"/>
      <c r="C65" s="54"/>
      <c r="D65" s="54"/>
    </row>
    <row r="66" spans="2:4" ht="15.75" x14ac:dyDescent="0.25">
      <c r="B66" s="54"/>
      <c r="C66" s="54"/>
      <c r="D66" s="54"/>
    </row>
    <row r="67" spans="2:4" ht="15.75" x14ac:dyDescent="0.25">
      <c r="B67" s="54"/>
      <c r="C67" s="54"/>
      <c r="D67" s="54"/>
    </row>
    <row r="68" spans="2:4" ht="15.75" x14ac:dyDescent="0.25">
      <c r="B68" s="54"/>
      <c r="C68" s="54"/>
      <c r="D68" s="54"/>
    </row>
    <row r="69" spans="2:4" ht="15.75" x14ac:dyDescent="0.25">
      <c r="B69" s="54"/>
      <c r="C69" s="54"/>
      <c r="D69" s="54"/>
    </row>
    <row r="70" spans="2:4" ht="15.75" x14ac:dyDescent="0.25">
      <c r="B70" s="54"/>
      <c r="C70" s="54"/>
      <c r="D70" s="54"/>
    </row>
    <row r="71" spans="2:4" ht="15.75" x14ac:dyDescent="0.25">
      <c r="B71" s="54"/>
      <c r="C71" s="54"/>
      <c r="D71" s="54"/>
    </row>
    <row r="72" spans="2:4" ht="15.75" x14ac:dyDescent="0.25">
      <c r="B72" s="54"/>
      <c r="C72" s="54"/>
      <c r="D72" s="54"/>
    </row>
    <row r="73" spans="2:4" ht="15.75" x14ac:dyDescent="0.25">
      <c r="B73" s="54"/>
      <c r="C73" s="54"/>
      <c r="D73" s="54"/>
    </row>
    <row r="74" spans="2:4" ht="15.75" x14ac:dyDescent="0.25">
      <c r="B74" s="54"/>
      <c r="C74" s="54"/>
      <c r="D74" s="54"/>
    </row>
    <row r="75" spans="2:4" ht="15.75" x14ac:dyDescent="0.25">
      <c r="B75" s="54"/>
      <c r="C75" s="54"/>
      <c r="D75" s="54"/>
    </row>
    <row r="76" spans="2:4" ht="15.75" x14ac:dyDescent="0.25">
      <c r="B76" s="54"/>
      <c r="C76" s="54"/>
      <c r="D76" s="54"/>
    </row>
    <row r="77" spans="2:4" ht="15.75" x14ac:dyDescent="0.25">
      <c r="B77" s="54"/>
      <c r="C77" s="54"/>
      <c r="D77" s="54"/>
    </row>
    <row r="78" spans="2:4" ht="15.75" x14ac:dyDescent="0.25">
      <c r="B78" s="54"/>
      <c r="C78" s="54"/>
      <c r="D78" s="54"/>
    </row>
    <row r="79" spans="2:4" ht="15.75" x14ac:dyDescent="0.25">
      <c r="B79" s="54"/>
      <c r="C79" s="54"/>
      <c r="D79" s="54"/>
    </row>
    <row r="80" spans="2:4" ht="15.75" x14ac:dyDescent="0.25">
      <c r="B80" s="54"/>
      <c r="C80" s="54"/>
      <c r="D80" s="54"/>
    </row>
    <row r="81" spans="2:4" ht="15.75" x14ac:dyDescent="0.25">
      <c r="B81" s="54"/>
      <c r="C81" s="54"/>
      <c r="D81" s="54"/>
    </row>
    <row r="82" spans="2:4" ht="15.75" x14ac:dyDescent="0.25">
      <c r="B82" s="54"/>
      <c r="C82" s="54"/>
      <c r="D82" s="54"/>
    </row>
    <row r="83" spans="2:4" ht="15.75" x14ac:dyDescent="0.25">
      <c r="B83" s="54"/>
      <c r="C83" s="54"/>
      <c r="D83" s="54"/>
    </row>
    <row r="84" spans="2:4" ht="15.75" x14ac:dyDescent="0.25">
      <c r="B84" s="54"/>
      <c r="C84" s="54"/>
      <c r="D84" s="54"/>
    </row>
    <row r="85" spans="2:4" ht="15.75" x14ac:dyDescent="0.25">
      <c r="B85" s="54"/>
      <c r="C85" s="54"/>
      <c r="D85" s="54"/>
    </row>
    <row r="86" spans="2:4" ht="15.75" x14ac:dyDescent="0.25">
      <c r="B86" s="54"/>
      <c r="C86" s="54"/>
      <c r="D86" s="54"/>
    </row>
    <row r="87" spans="2:4" ht="15.75" x14ac:dyDescent="0.25">
      <c r="B87" s="54"/>
      <c r="C87" s="54"/>
      <c r="D87" s="54"/>
    </row>
    <row r="88" spans="2:4" ht="15.75" x14ac:dyDescent="0.25">
      <c r="B88" s="54"/>
      <c r="C88" s="54"/>
      <c r="D88" s="54"/>
    </row>
    <row r="89" spans="2:4" ht="15.75" x14ac:dyDescent="0.25">
      <c r="B89" s="54"/>
      <c r="C89" s="54"/>
      <c r="D89" s="54"/>
    </row>
    <row r="90" spans="2:4" ht="15.75" x14ac:dyDescent="0.25">
      <c r="B90" s="54"/>
      <c r="C90" s="54"/>
      <c r="D90" s="54"/>
    </row>
    <row r="91" spans="2:4" ht="15.75" x14ac:dyDescent="0.25">
      <c r="B91" s="54"/>
      <c r="C91" s="54"/>
      <c r="D91" s="54"/>
    </row>
    <row r="92" spans="2:4" ht="15.75" x14ac:dyDescent="0.25">
      <c r="B92" s="54"/>
      <c r="C92" s="54"/>
      <c r="D92" s="54"/>
    </row>
    <row r="93" spans="2:4" ht="15.75" x14ac:dyDescent="0.25">
      <c r="B93" s="54"/>
      <c r="C93" s="54"/>
      <c r="D93" s="54"/>
    </row>
    <row r="94" spans="2:4" ht="15.75" x14ac:dyDescent="0.25">
      <c r="B94" s="54"/>
      <c r="C94" s="54"/>
      <c r="D94" s="54"/>
    </row>
    <row r="95" spans="2:4" ht="15.75" x14ac:dyDescent="0.25">
      <c r="B95" s="54"/>
      <c r="C95" s="54"/>
      <c r="D95" s="54"/>
    </row>
    <row r="96" spans="2:4" ht="15.75" x14ac:dyDescent="0.25">
      <c r="B96" s="54"/>
      <c r="C96" s="54"/>
      <c r="D96" s="54"/>
    </row>
    <row r="97" spans="2:4" ht="15.75" x14ac:dyDescent="0.25">
      <c r="B97" s="54"/>
      <c r="C97" s="54"/>
      <c r="D97" s="54"/>
    </row>
    <row r="98" spans="2:4" ht="15.75" x14ac:dyDescent="0.25">
      <c r="B98" s="54"/>
      <c r="C98" s="54"/>
      <c r="D98" s="54"/>
    </row>
    <row r="99" spans="2:4" ht="15.75" x14ac:dyDescent="0.25">
      <c r="B99" s="54"/>
      <c r="C99" s="54"/>
      <c r="D99" s="54"/>
    </row>
    <row r="100" spans="2:4" ht="15.75" x14ac:dyDescent="0.25">
      <c r="B100" s="54"/>
      <c r="C100" s="54"/>
      <c r="D100" s="54"/>
    </row>
    <row r="101" spans="2:4" ht="15.75" x14ac:dyDescent="0.25">
      <c r="B101" s="54"/>
      <c r="C101" s="54"/>
      <c r="D101" s="54"/>
    </row>
    <row r="102" spans="2:4" ht="15.75" x14ac:dyDescent="0.25">
      <c r="B102" s="54"/>
      <c r="C102" s="54"/>
      <c r="D102" s="54"/>
    </row>
    <row r="103" spans="2:4" ht="15.75" x14ac:dyDescent="0.25">
      <c r="B103" s="54"/>
      <c r="C103" s="54"/>
      <c r="D103" s="54"/>
    </row>
    <row r="104" spans="2:4" ht="15.75" x14ac:dyDescent="0.25">
      <c r="B104" s="54"/>
      <c r="C104" s="54"/>
      <c r="D104" s="54"/>
    </row>
    <row r="105" spans="2:4" ht="15.75" x14ac:dyDescent="0.25">
      <c r="B105" s="54"/>
      <c r="C105" s="54"/>
      <c r="D105" s="54"/>
    </row>
    <row r="106" spans="2:4" ht="15.75" x14ac:dyDescent="0.25">
      <c r="B106" s="54"/>
      <c r="C106" s="54"/>
      <c r="D106" s="54"/>
    </row>
    <row r="107" spans="2:4" ht="15.75" x14ac:dyDescent="0.25">
      <c r="B107" s="54"/>
      <c r="C107" s="54"/>
      <c r="D107" s="54"/>
    </row>
    <row r="108" spans="2:4" ht="15.75" x14ac:dyDescent="0.25">
      <c r="B108" s="54"/>
      <c r="C108" s="54"/>
      <c r="D108" s="54"/>
    </row>
    <row r="109" spans="2:4" ht="15.75" x14ac:dyDescent="0.25">
      <c r="B109" s="54"/>
      <c r="C109" s="54"/>
      <c r="D109" s="54"/>
    </row>
    <row r="110" spans="2:4" ht="15.75" x14ac:dyDescent="0.25">
      <c r="B110" s="54"/>
      <c r="C110" s="54"/>
      <c r="D110" s="54"/>
    </row>
    <row r="111" spans="2:4" ht="15.75" x14ac:dyDescent="0.25">
      <c r="B111" s="54"/>
      <c r="C111" s="54"/>
      <c r="D111" s="54"/>
    </row>
    <row r="112" spans="2:4" ht="15.75" x14ac:dyDescent="0.25">
      <c r="B112" s="54"/>
      <c r="C112" s="54"/>
      <c r="D112" s="54"/>
    </row>
    <row r="113" spans="2:4" ht="15.75" x14ac:dyDescent="0.25">
      <c r="B113" s="54"/>
      <c r="C113" s="54"/>
      <c r="D113" s="54"/>
    </row>
    <row r="114" spans="2:4" ht="15.75" x14ac:dyDescent="0.25">
      <c r="B114" s="54"/>
      <c r="C114" s="54"/>
      <c r="D114" s="54"/>
    </row>
    <row r="115" spans="2:4" ht="15.75" x14ac:dyDescent="0.25">
      <c r="B115" s="54"/>
      <c r="C115" s="54"/>
      <c r="D115" s="54"/>
    </row>
    <row r="116" spans="2:4" ht="15.75" x14ac:dyDescent="0.25">
      <c r="B116" s="54"/>
      <c r="C116" s="54"/>
      <c r="D116" s="54"/>
    </row>
    <row r="117" spans="2:4" ht="15.75" x14ac:dyDescent="0.25">
      <c r="B117" s="54"/>
      <c r="C117" s="54"/>
      <c r="D117" s="54"/>
    </row>
    <row r="118" spans="2:4" ht="15.75" x14ac:dyDescent="0.25">
      <c r="B118" s="54"/>
      <c r="C118" s="54"/>
      <c r="D118" s="54"/>
    </row>
    <row r="119" spans="2:4" ht="15.75" x14ac:dyDescent="0.25">
      <c r="B119" s="54"/>
      <c r="C119" s="54"/>
      <c r="D119" s="54"/>
    </row>
    <row r="120" spans="2:4" ht="15.75" x14ac:dyDescent="0.25">
      <c r="B120" s="54"/>
      <c r="C120" s="54"/>
      <c r="D120" s="54"/>
    </row>
    <row r="121" spans="2:4" ht="15.75" x14ac:dyDescent="0.25">
      <c r="B121" s="54"/>
      <c r="C121" s="54"/>
      <c r="D121" s="54"/>
    </row>
    <row r="122" spans="2:4" ht="15.75" x14ac:dyDescent="0.25">
      <c r="B122" s="54"/>
      <c r="C122" s="54"/>
      <c r="D122" s="54"/>
    </row>
    <row r="123" spans="2:4" ht="15.75" x14ac:dyDescent="0.25">
      <c r="B123" s="54"/>
      <c r="C123" s="54"/>
      <c r="D123" s="54"/>
    </row>
    <row r="124" spans="2:4" ht="15.75" x14ac:dyDescent="0.25">
      <c r="B124" s="54"/>
      <c r="C124" s="54"/>
      <c r="D124" s="54"/>
    </row>
    <row r="125" spans="2:4" ht="15.75" x14ac:dyDescent="0.25">
      <c r="B125" s="54"/>
      <c r="C125" s="54"/>
      <c r="D125" s="54"/>
    </row>
    <row r="126" spans="2:4" ht="15.75" x14ac:dyDescent="0.25">
      <c r="B126" s="54"/>
      <c r="C126" s="54"/>
      <c r="D126" s="54"/>
    </row>
    <row r="127" spans="2:4" ht="15.75" x14ac:dyDescent="0.25">
      <c r="B127" s="54"/>
      <c r="C127" s="54"/>
      <c r="D127" s="54"/>
    </row>
    <row r="128" spans="2:4" ht="15.75" x14ac:dyDescent="0.25">
      <c r="B128" s="54"/>
      <c r="C128" s="54"/>
      <c r="D128" s="54"/>
    </row>
    <row r="129" spans="2:4" ht="15.75" x14ac:dyDescent="0.25">
      <c r="B129" s="54"/>
      <c r="C129" s="54"/>
      <c r="D129" s="54"/>
    </row>
    <row r="130" spans="2:4" ht="15.75" x14ac:dyDescent="0.25">
      <c r="B130" s="54"/>
      <c r="C130" s="54"/>
      <c r="D130" s="54"/>
    </row>
    <row r="131" spans="2:4" ht="15.75" x14ac:dyDescent="0.25">
      <c r="B131" s="54"/>
      <c r="C131" s="54"/>
      <c r="D131" s="54"/>
    </row>
    <row r="132" spans="2:4" ht="15.75" x14ac:dyDescent="0.25">
      <c r="B132" s="54"/>
      <c r="C132" s="54"/>
      <c r="D132" s="54"/>
    </row>
    <row r="133" spans="2:4" ht="15.75" x14ac:dyDescent="0.25">
      <c r="B133" s="54"/>
      <c r="C133" s="54"/>
      <c r="D133" s="54"/>
    </row>
    <row r="134" spans="2:4" ht="15.75" x14ac:dyDescent="0.25">
      <c r="B134" s="54"/>
      <c r="C134" s="54"/>
      <c r="D134" s="54"/>
    </row>
    <row r="135" spans="2:4" ht="15.75" x14ac:dyDescent="0.25">
      <c r="B135" s="54"/>
      <c r="C135" s="54"/>
      <c r="D135" s="54"/>
    </row>
    <row r="136" spans="2:4" ht="15.75" x14ac:dyDescent="0.25">
      <c r="B136" s="54"/>
      <c r="C136" s="54"/>
      <c r="D136" s="54"/>
    </row>
    <row r="137" spans="2:4" ht="15.75" x14ac:dyDescent="0.25">
      <c r="B137" s="54"/>
      <c r="C137" s="54"/>
      <c r="D137" s="54"/>
    </row>
    <row r="138" spans="2:4" ht="15.75" x14ac:dyDescent="0.25">
      <c r="B138" s="54"/>
      <c r="C138" s="54"/>
      <c r="D138" s="54"/>
    </row>
    <row r="139" spans="2:4" ht="15.75" x14ac:dyDescent="0.25">
      <c r="B139" s="54"/>
      <c r="C139" s="54"/>
      <c r="D139" s="54"/>
    </row>
    <row r="140" spans="2:4" ht="15.75" x14ac:dyDescent="0.25">
      <c r="B140" s="54"/>
      <c r="C140" s="54"/>
      <c r="D140" s="54"/>
    </row>
    <row r="141" spans="2:4" ht="15.75" x14ac:dyDescent="0.25">
      <c r="B141" s="54"/>
      <c r="C141" s="54"/>
      <c r="D141" s="54"/>
    </row>
    <row r="142" spans="2:4" ht="15.75" x14ac:dyDescent="0.25">
      <c r="B142" s="54"/>
      <c r="C142" s="54"/>
      <c r="D142" s="54"/>
    </row>
    <row r="143" spans="2:4" ht="15.75" x14ac:dyDescent="0.25">
      <c r="B143" s="54"/>
      <c r="C143" s="54"/>
      <c r="D143" s="54"/>
    </row>
    <row r="144" spans="2:4" ht="15.75" x14ac:dyDescent="0.25">
      <c r="B144" s="54"/>
      <c r="C144" s="54"/>
      <c r="D144" s="54"/>
    </row>
    <row r="145" spans="2:4" ht="15.75" x14ac:dyDescent="0.25">
      <c r="B145" s="54"/>
      <c r="C145" s="54"/>
      <c r="D145" s="54"/>
    </row>
    <row r="146" spans="2:4" ht="15.75" x14ac:dyDescent="0.25">
      <c r="B146" s="54"/>
      <c r="C146" s="54"/>
      <c r="D146" s="54"/>
    </row>
    <row r="147" spans="2:4" ht="15.75" x14ac:dyDescent="0.25">
      <c r="B147" s="54"/>
      <c r="C147" s="54"/>
      <c r="D147" s="54"/>
    </row>
    <row r="148" spans="2:4" ht="15.75" x14ac:dyDescent="0.25">
      <c r="B148" s="54"/>
      <c r="C148" s="54"/>
      <c r="D148" s="54"/>
    </row>
    <row r="149" spans="2:4" ht="15.75" x14ac:dyDescent="0.25">
      <c r="B149" s="54"/>
      <c r="C149" s="54"/>
      <c r="D149" s="54"/>
    </row>
    <row r="150" spans="2:4" ht="15.75" x14ac:dyDescent="0.25">
      <c r="B150" s="54"/>
      <c r="C150" s="54"/>
      <c r="D150" s="54"/>
    </row>
    <row r="151" spans="2:4" ht="15.75" x14ac:dyDescent="0.25">
      <c r="B151" s="54"/>
      <c r="C151" s="54"/>
      <c r="D151" s="54"/>
    </row>
    <row r="152" spans="2:4" ht="15.75" x14ac:dyDescent="0.25">
      <c r="B152" s="54"/>
      <c r="C152" s="54"/>
      <c r="D152" s="54"/>
    </row>
    <row r="153" spans="2:4" x14ac:dyDescent="0.25">
      <c r="B153" s="6"/>
      <c r="C153" s="6"/>
      <c r="D153" s="6"/>
    </row>
    <row r="154" spans="2:4" x14ac:dyDescent="0.25">
      <c r="B154" s="6"/>
      <c r="C154" s="6"/>
      <c r="D154" s="6"/>
    </row>
    <row r="155" spans="2:4" x14ac:dyDescent="0.25">
      <c r="B155" s="6"/>
      <c r="C155" s="6"/>
      <c r="D155" s="6"/>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G53" sqref="G53"/>
    </sheetView>
  </sheetViews>
  <sheetFormatPr defaultRowHeight="15" x14ac:dyDescent="0.25"/>
  <cols>
    <col min="1" max="1" width="3.7109375" style="7"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46" t="s">
        <v>142</v>
      </c>
      <c r="J1" s="146"/>
      <c r="K1" s="146"/>
      <c r="L1" s="146"/>
    </row>
    <row r="2" spans="2:12" ht="15.75" x14ac:dyDescent="0.25">
      <c r="I2" s="147" t="s">
        <v>24</v>
      </c>
      <c r="J2" s="147"/>
      <c r="K2" s="147"/>
      <c r="L2" s="147"/>
    </row>
    <row r="3" spans="2:12" ht="15.75" x14ac:dyDescent="0.25">
      <c r="I3" s="147" t="s">
        <v>25</v>
      </c>
      <c r="J3" s="147"/>
      <c r="K3" s="147"/>
      <c r="L3" s="147"/>
    </row>
    <row r="4" spans="2:12" s="66" customFormat="1" x14ac:dyDescent="0.25"/>
    <row r="5" spans="2:12" s="66" customFormat="1" ht="15.75" x14ac:dyDescent="0.25">
      <c r="B5" s="83" t="s">
        <v>77</v>
      </c>
    </row>
    <row r="6" spans="2:12" s="66" customFormat="1" ht="15.75" x14ac:dyDescent="0.25">
      <c r="B6" s="83" t="s">
        <v>73</v>
      </c>
    </row>
    <row r="7" spans="2:12" s="66" customFormat="1" ht="15.75" x14ac:dyDescent="0.25">
      <c r="B7" s="84"/>
      <c r="C7" s="85" t="s">
        <v>74</v>
      </c>
      <c r="D7" s="85">
        <v>2014</v>
      </c>
      <c r="E7" s="85">
        <v>2015</v>
      </c>
      <c r="F7" s="85">
        <v>2016</v>
      </c>
      <c r="G7" s="85">
        <v>2017</v>
      </c>
      <c r="H7" s="85">
        <v>2018</v>
      </c>
      <c r="I7" s="85">
        <v>2019</v>
      </c>
      <c r="J7" s="85">
        <v>2020</v>
      </c>
      <c r="K7" s="86" t="s">
        <v>12</v>
      </c>
    </row>
    <row r="8" spans="2:12" s="66" customFormat="1" ht="51" x14ac:dyDescent="0.25">
      <c r="B8" s="60" t="s">
        <v>75</v>
      </c>
      <c r="C8" s="60" t="s">
        <v>76</v>
      </c>
      <c r="D8" s="87"/>
      <c r="E8" s="88"/>
      <c r="F8" s="87"/>
      <c r="G8" s="87"/>
      <c r="H8" s="87"/>
      <c r="I8" s="87"/>
      <c r="J8" s="87"/>
      <c r="K8" s="87"/>
    </row>
    <row r="9" spans="2:12" s="129" customFormat="1" ht="25.5" x14ac:dyDescent="0.25">
      <c r="B9" s="128" t="s">
        <v>466</v>
      </c>
      <c r="C9" s="128" t="s">
        <v>901</v>
      </c>
      <c r="D9" s="128">
        <f>'5 lentelė'!E13</f>
        <v>0</v>
      </c>
      <c r="E9" s="128">
        <f>'1 lentelė'!G13</f>
        <v>0</v>
      </c>
      <c r="F9" s="128">
        <f>'1 lentelė'!I13</f>
        <v>492354</v>
      </c>
      <c r="G9" s="128">
        <f>'1 lentelė'!K13</f>
        <v>4087420.33</v>
      </c>
      <c r="H9" s="128">
        <f>'1 lentelė'!M13</f>
        <v>3408612.7199999997</v>
      </c>
      <c r="I9" s="128">
        <f>'1 lentelė'!O13</f>
        <v>1467459.5</v>
      </c>
      <c r="J9" s="128">
        <f>'1 lentelė'!Q13</f>
        <v>0</v>
      </c>
      <c r="K9" s="128">
        <f t="shared" ref="K9:K34" si="0">D9+E9+F9+G9+H9+I9+J9</f>
        <v>9455846.5500000007</v>
      </c>
    </row>
    <row r="10" spans="2:12" s="66" customFormat="1" ht="38.25" hidden="1" x14ac:dyDescent="0.25">
      <c r="B10" s="60" t="s">
        <v>902</v>
      </c>
      <c r="C10" s="60" t="s">
        <v>903</v>
      </c>
      <c r="D10" s="60">
        <v>0</v>
      </c>
      <c r="E10" s="60">
        <v>0</v>
      </c>
      <c r="F10" s="60">
        <v>0</v>
      </c>
      <c r="G10" s="60">
        <f>'2 lentelė'!Q26</f>
        <v>239072</v>
      </c>
      <c r="H10" s="60">
        <v>0</v>
      </c>
      <c r="I10" s="60">
        <v>0</v>
      </c>
      <c r="J10" s="60">
        <v>0</v>
      </c>
      <c r="K10" s="60">
        <f t="shared" si="0"/>
        <v>239072</v>
      </c>
    </row>
    <row r="11" spans="2:12" s="66" customFormat="1" ht="38.25" hidden="1" x14ac:dyDescent="0.25">
      <c r="B11" s="60" t="s">
        <v>904</v>
      </c>
      <c r="C11" s="60" t="s">
        <v>906</v>
      </c>
      <c r="D11" s="60">
        <v>0</v>
      </c>
      <c r="E11" s="60">
        <v>0</v>
      </c>
      <c r="F11" s="60">
        <f>'2 lentelė'!Q27+'2 lentelė'!Q28</f>
        <v>2321304</v>
      </c>
      <c r="G11" s="60">
        <v>0</v>
      </c>
      <c r="H11" s="60">
        <v>0</v>
      </c>
      <c r="I11" s="60">
        <v>0</v>
      </c>
      <c r="J11" s="60">
        <v>0</v>
      </c>
      <c r="K11" s="60">
        <f t="shared" si="0"/>
        <v>2321304</v>
      </c>
    </row>
    <row r="12" spans="2:12" s="66" customFormat="1" ht="25.5" hidden="1" x14ac:dyDescent="0.25">
      <c r="B12" s="60" t="s">
        <v>544</v>
      </c>
      <c r="C12" s="60" t="s">
        <v>905</v>
      </c>
      <c r="D12" s="60">
        <f>'1 lentelė'!E33</f>
        <v>0</v>
      </c>
      <c r="E12" s="60">
        <f>'1 lentelė'!G33</f>
        <v>0</v>
      </c>
      <c r="F12" s="60">
        <f>'1 lentelė'!I33</f>
        <v>0</v>
      </c>
      <c r="G12" s="60">
        <f>'1 lentelė'!K33</f>
        <v>769018</v>
      </c>
      <c r="H12" s="60">
        <f>'1 lentelė'!M33</f>
        <v>0</v>
      </c>
      <c r="I12" s="60">
        <f>'1 lentelė'!O33</f>
        <v>0</v>
      </c>
      <c r="J12" s="60">
        <f>'1 lentelė'!Q33</f>
        <v>0</v>
      </c>
      <c r="K12" s="60">
        <f t="shared" si="0"/>
        <v>769018</v>
      </c>
    </row>
    <row r="13" spans="2:12" s="66" customFormat="1" hidden="1" x14ac:dyDescent="0.25">
      <c r="B13" s="60" t="s">
        <v>549</v>
      </c>
      <c r="C13" s="60" t="s">
        <v>907</v>
      </c>
      <c r="D13" s="60">
        <f>'1 lentelė'!E40</f>
        <v>0</v>
      </c>
      <c r="E13" s="60">
        <f>'1 lentelė'!G40</f>
        <v>0</v>
      </c>
      <c r="F13" s="60">
        <f>'1 lentelė'!I40</f>
        <v>0</v>
      </c>
      <c r="G13" s="60">
        <f>'1 lentelė'!K40</f>
        <v>1330069.83</v>
      </c>
      <c r="H13" s="60">
        <f>'1 lentelė'!M40</f>
        <v>1876971.1</v>
      </c>
      <c r="I13" s="60">
        <f>'1 lentelė'!O40</f>
        <v>323969.08999999997</v>
      </c>
      <c r="J13" s="60">
        <f>'1 lentelė'!Q40</f>
        <v>0</v>
      </c>
      <c r="K13" s="25">
        <f t="shared" si="0"/>
        <v>3531010.02</v>
      </c>
    </row>
    <row r="14" spans="2:12" s="66" customFormat="1" ht="38.25" hidden="1" x14ac:dyDescent="0.25">
      <c r="B14" s="60" t="s">
        <v>575</v>
      </c>
      <c r="C14" s="60" t="s">
        <v>908</v>
      </c>
      <c r="D14" s="60">
        <f>'1 lentelė'!E50</f>
        <v>0</v>
      </c>
      <c r="E14" s="60">
        <f>'1 lentelė'!G50</f>
        <v>0</v>
      </c>
      <c r="F14" s="60">
        <f>'1 lentelė'!I50</f>
        <v>0</v>
      </c>
      <c r="G14" s="60">
        <f>'1 lentelė'!K50</f>
        <v>0</v>
      </c>
      <c r="H14" s="60">
        <f>'1 lentelė'!M50</f>
        <v>308052</v>
      </c>
      <c r="I14" s="60">
        <f>'1 lentelė'!O50</f>
        <v>87500</v>
      </c>
      <c r="J14" s="60">
        <f>'1 lentelė'!Q50</f>
        <v>0</v>
      </c>
      <c r="K14" s="25">
        <f t="shared" si="0"/>
        <v>395552</v>
      </c>
    </row>
    <row r="15" spans="2:12" s="66" customFormat="1" ht="25.5" hidden="1" x14ac:dyDescent="0.25">
      <c r="B15" s="60" t="s">
        <v>584</v>
      </c>
      <c r="C15" s="60" t="s">
        <v>909</v>
      </c>
      <c r="D15" s="60">
        <v>0</v>
      </c>
      <c r="E15" s="60">
        <v>0</v>
      </c>
      <c r="F15" s="60">
        <v>0</v>
      </c>
      <c r="G15" s="60">
        <f>'2 lentelė'!Q53+'2 lentelė'!Q55</f>
        <v>1467000</v>
      </c>
      <c r="H15" s="60">
        <v>0</v>
      </c>
      <c r="I15" s="60">
        <v>0</v>
      </c>
      <c r="J15" s="60">
        <v>0</v>
      </c>
      <c r="K15" s="25">
        <f t="shared" si="0"/>
        <v>1467000</v>
      </c>
    </row>
    <row r="16" spans="2:12" s="66" customFormat="1" ht="25.5" hidden="1" x14ac:dyDescent="0.25">
      <c r="B16" s="60" t="s">
        <v>585</v>
      </c>
      <c r="C16" s="60" t="s">
        <v>910</v>
      </c>
      <c r="D16" s="60">
        <v>0</v>
      </c>
      <c r="E16" s="60">
        <v>0</v>
      </c>
      <c r="F16" s="60">
        <f>'2 lentelė'!Q54</f>
        <v>42500</v>
      </c>
      <c r="G16" s="60">
        <f>'2 lentelė'!Q56</f>
        <v>13345</v>
      </c>
      <c r="H16" s="60">
        <v>0</v>
      </c>
      <c r="I16" s="60">
        <v>0</v>
      </c>
      <c r="J16" s="60">
        <v>0</v>
      </c>
      <c r="K16" s="25">
        <f t="shared" si="0"/>
        <v>55845</v>
      </c>
    </row>
    <row r="17" spans="2:11" s="66" customFormat="1" ht="51" hidden="1" x14ac:dyDescent="0.25">
      <c r="B17" s="60" t="s">
        <v>599</v>
      </c>
      <c r="C17" s="60" t="s">
        <v>911</v>
      </c>
      <c r="D17" s="60">
        <f>'1 lentelė'!E61</f>
        <v>0</v>
      </c>
      <c r="E17" s="60">
        <f>'1 lentelė'!G61</f>
        <v>0</v>
      </c>
      <c r="F17" s="60">
        <f>'1 lentelė'!I61</f>
        <v>0</v>
      </c>
      <c r="G17" s="60">
        <f>'1 lentelė'!K61</f>
        <v>0</v>
      </c>
      <c r="H17" s="60">
        <f>'1 lentelė'!M61</f>
        <v>691815</v>
      </c>
      <c r="I17" s="60">
        <f>'1 lentelė'!O61</f>
        <v>0</v>
      </c>
      <c r="J17" s="60">
        <f>'1 lentelė'!Q61</f>
        <v>0</v>
      </c>
      <c r="K17" s="25">
        <f t="shared" si="0"/>
        <v>691815</v>
      </c>
    </row>
    <row r="18" spans="2:11" s="66" customFormat="1" ht="38.25" hidden="1" x14ac:dyDescent="0.25">
      <c r="B18" s="60" t="s">
        <v>603</v>
      </c>
      <c r="C18" s="60" t="s">
        <v>912</v>
      </c>
      <c r="D18" s="60">
        <f>'1 lentelė'!E68</f>
        <v>0</v>
      </c>
      <c r="E18" s="60">
        <f>'1 lentelė'!G68</f>
        <v>0</v>
      </c>
      <c r="F18" s="60">
        <f>'1 lentelė'!I68</f>
        <v>0</v>
      </c>
      <c r="G18" s="60">
        <f>'1 lentelė'!K68</f>
        <v>1180721</v>
      </c>
      <c r="H18" s="60">
        <f>'1 lentelė'!M68</f>
        <v>0</v>
      </c>
      <c r="I18" s="60">
        <f>'1 lentelė'!O68</f>
        <v>0</v>
      </c>
      <c r="J18" s="60">
        <f>'1 lentelė'!Q68</f>
        <v>0</v>
      </c>
      <c r="K18" s="25">
        <f t="shared" si="0"/>
        <v>1180721</v>
      </c>
    </row>
    <row r="19" spans="2:11" s="66" customFormat="1" ht="63.75" hidden="1" x14ac:dyDescent="0.25">
      <c r="B19" s="60" t="s">
        <v>913</v>
      </c>
      <c r="C19" s="60" t="s">
        <v>914</v>
      </c>
      <c r="D19" s="60">
        <f>'1 lentelė'!E74</f>
        <v>0</v>
      </c>
      <c r="E19" s="60">
        <f>'1 lentelė'!G74</f>
        <v>0</v>
      </c>
      <c r="F19" s="60">
        <f>'1 lentelė'!I74</f>
        <v>0</v>
      </c>
      <c r="G19" s="60">
        <f>'1 lentelė'!K74</f>
        <v>253936.89</v>
      </c>
      <c r="H19" s="60">
        <f>'1 lentelė'!M74</f>
        <v>0</v>
      </c>
      <c r="I19" s="60">
        <f>'1 lentelė'!O74</f>
        <v>0</v>
      </c>
      <c r="J19" s="60">
        <f>'1 lentelė'!Q75</f>
        <v>0</v>
      </c>
      <c r="K19" s="25">
        <f t="shared" si="0"/>
        <v>253936.89</v>
      </c>
    </row>
    <row r="20" spans="2:11" s="129" customFormat="1" ht="76.5" hidden="1" x14ac:dyDescent="0.25">
      <c r="B20" s="128" t="s">
        <v>628</v>
      </c>
      <c r="C20" s="128" t="s">
        <v>915</v>
      </c>
      <c r="D20" s="128">
        <f>'1 lentelė'!E78</f>
        <v>0</v>
      </c>
      <c r="E20" s="128">
        <f>'1 lentelė'!G78</f>
        <v>0</v>
      </c>
      <c r="F20" s="128">
        <f>'1 lentelė'!I78</f>
        <v>6292260.8300000001</v>
      </c>
      <c r="G20" s="128">
        <f>'1 lentelė'!K78</f>
        <v>823834.4</v>
      </c>
      <c r="H20" s="128">
        <f>'1 lentelė'!M78</f>
        <v>0</v>
      </c>
      <c r="I20" s="128">
        <f>'1 lentelė'!O78</f>
        <v>1581636</v>
      </c>
      <c r="J20" s="128">
        <f>'1 lentelė'!Q78</f>
        <v>0</v>
      </c>
      <c r="K20" s="131">
        <f t="shared" si="0"/>
        <v>8697731.2300000004</v>
      </c>
    </row>
    <row r="21" spans="2:11" s="66" customFormat="1" ht="25.5" hidden="1" x14ac:dyDescent="0.25">
      <c r="B21" s="60" t="s">
        <v>641</v>
      </c>
      <c r="C21" s="60" t="s">
        <v>916</v>
      </c>
      <c r="D21" s="60">
        <f>'1 lentelė'!E89</f>
        <v>0</v>
      </c>
      <c r="E21" s="60">
        <f>'1 lentelė'!G89</f>
        <v>0</v>
      </c>
      <c r="F21" s="60">
        <f>'1 lentelė'!I89</f>
        <v>0</v>
      </c>
      <c r="G21" s="60">
        <f>'1 lentelė'!K89</f>
        <v>1745596.94</v>
      </c>
      <c r="H21" s="60">
        <f>'1 lentelė'!M89</f>
        <v>0</v>
      </c>
      <c r="I21" s="60">
        <f>'1 lentelė'!O89</f>
        <v>0</v>
      </c>
      <c r="J21" s="60">
        <f>'1 lentelė'!Q89</f>
        <v>0</v>
      </c>
      <c r="K21" s="25">
        <f t="shared" si="0"/>
        <v>1745596.94</v>
      </c>
    </row>
    <row r="22" spans="2:11" s="66" customFormat="1" ht="38.25" hidden="1" x14ac:dyDescent="0.25">
      <c r="B22" s="60" t="s">
        <v>646</v>
      </c>
      <c r="C22" s="60" t="s">
        <v>917</v>
      </c>
      <c r="D22" s="60">
        <f>'1 lentelė'!E92</f>
        <v>0</v>
      </c>
      <c r="E22" s="60">
        <f>'1 lentelė'!G92</f>
        <v>0</v>
      </c>
      <c r="F22" s="60">
        <f>'1 lentelė'!I92</f>
        <v>0</v>
      </c>
      <c r="G22" s="60">
        <f>'1 lentelė'!K92</f>
        <v>2832116.82</v>
      </c>
      <c r="H22" s="60">
        <f>'1 lentelė'!M92</f>
        <v>0</v>
      </c>
      <c r="I22" s="60">
        <f>'1 lentelė'!O92</f>
        <v>0</v>
      </c>
      <c r="J22" s="60">
        <f>'1 lentelė'!Q92</f>
        <v>0</v>
      </c>
      <c r="K22" s="25">
        <f t="shared" si="0"/>
        <v>2832116.82</v>
      </c>
    </row>
    <row r="23" spans="2:11" s="129" customFormat="1" ht="25.5" hidden="1" x14ac:dyDescent="0.25">
      <c r="B23" s="128" t="s">
        <v>661</v>
      </c>
      <c r="C23" s="128" t="s">
        <v>918</v>
      </c>
      <c r="D23" s="128">
        <f>'1 lentelė'!E100</f>
        <v>0</v>
      </c>
      <c r="E23" s="128">
        <f>'1 lentelė'!G100</f>
        <v>0</v>
      </c>
      <c r="F23" s="128">
        <f>'1 lentelė'!I100</f>
        <v>203010.14</v>
      </c>
      <c r="G23" s="128">
        <f>'1 lentelė'!K100</f>
        <v>1375870.84</v>
      </c>
      <c r="H23" s="128">
        <f>'1 lentelė'!M100</f>
        <v>366390.06</v>
      </c>
      <c r="I23" s="128">
        <f>'1 lentelė'!O100</f>
        <v>1019171</v>
      </c>
      <c r="J23" s="128">
        <f>'1 lentelė'!Q100</f>
        <v>0</v>
      </c>
      <c r="K23" s="131">
        <f t="shared" si="0"/>
        <v>2964442.04</v>
      </c>
    </row>
    <row r="24" spans="2:11" s="66" customFormat="1" hidden="1" x14ac:dyDescent="0.25">
      <c r="B24" s="60" t="s">
        <v>959</v>
      </c>
      <c r="C24" s="60" t="s">
        <v>961</v>
      </c>
      <c r="D24" s="60">
        <f>'1 lentelė'!E113</f>
        <v>0</v>
      </c>
      <c r="E24" s="60">
        <f>'1 lentelė'!G113</f>
        <v>0</v>
      </c>
      <c r="F24" s="60">
        <f>'1 lentelė'!I113</f>
        <v>0</v>
      </c>
      <c r="G24" s="60">
        <f>'1 lentelė'!K113</f>
        <v>0</v>
      </c>
      <c r="H24" s="60">
        <f>'1 lentelė'!M113</f>
        <v>1737720</v>
      </c>
      <c r="I24" s="60">
        <f>'1 lentelė'!O113</f>
        <v>0</v>
      </c>
      <c r="J24" s="60">
        <f>'1 lentelė'!Q113</f>
        <v>0</v>
      </c>
      <c r="K24" s="25">
        <f t="shared" si="0"/>
        <v>1737720</v>
      </c>
    </row>
    <row r="25" spans="2:11" s="66" customFormat="1" ht="51" hidden="1" x14ac:dyDescent="0.25">
      <c r="B25" s="60" t="s">
        <v>681</v>
      </c>
      <c r="C25" s="60" t="s">
        <v>919</v>
      </c>
      <c r="D25" s="60">
        <f>'1 lentelė'!E120</f>
        <v>0</v>
      </c>
      <c r="E25" s="60">
        <f>'1 lentelė'!G120</f>
        <v>0</v>
      </c>
      <c r="F25" s="60">
        <f>'1 lentelė'!I120</f>
        <v>0</v>
      </c>
      <c r="G25" s="60">
        <f>'1 lentelė'!K120</f>
        <v>0</v>
      </c>
      <c r="H25" s="60">
        <f>'1 lentelė'!M120</f>
        <v>560529</v>
      </c>
      <c r="I25" s="60">
        <f>'1 lentelė'!O120</f>
        <v>0</v>
      </c>
      <c r="J25" s="60">
        <f>'1 lentelė'!Q120</f>
        <v>0</v>
      </c>
      <c r="K25" s="25">
        <f t="shared" si="0"/>
        <v>560529</v>
      </c>
    </row>
    <row r="26" spans="2:11" s="66" customFormat="1" ht="25.5" hidden="1" x14ac:dyDescent="0.25">
      <c r="B26" s="60" t="s">
        <v>686</v>
      </c>
      <c r="C26" s="60" t="s">
        <v>920</v>
      </c>
      <c r="D26" s="60">
        <f>'1 lentelė'!E123</f>
        <v>0</v>
      </c>
      <c r="E26" s="60">
        <f>'1 lentelė'!G123</f>
        <v>0</v>
      </c>
      <c r="F26" s="60">
        <f>'1 lentelė'!I123</f>
        <v>0</v>
      </c>
      <c r="G26" s="60">
        <f>'1 lentelė'!K123</f>
        <v>830529</v>
      </c>
      <c r="H26" s="60">
        <f>'1 lentelė'!M123</f>
        <v>0</v>
      </c>
      <c r="I26" s="60">
        <f>'1 lentelė'!O123</f>
        <v>0</v>
      </c>
      <c r="J26" s="60">
        <f>'1 lentelė'!Q123</f>
        <v>0</v>
      </c>
      <c r="K26" s="25">
        <f t="shared" si="0"/>
        <v>830529</v>
      </c>
    </row>
    <row r="27" spans="2:11" s="66" customFormat="1" ht="38.25" hidden="1" x14ac:dyDescent="0.25">
      <c r="B27" s="60" t="s">
        <v>693</v>
      </c>
      <c r="C27" s="60" t="s">
        <v>921</v>
      </c>
      <c r="D27" s="60">
        <f>'1 lentelė'!E128</f>
        <v>0</v>
      </c>
      <c r="E27" s="60">
        <f>'1 lentelė'!G128</f>
        <v>0</v>
      </c>
      <c r="F27" s="60">
        <f>'1 lentelė'!I128</f>
        <v>0</v>
      </c>
      <c r="G27" s="60">
        <f>'1 lentelė'!K128</f>
        <v>1404711</v>
      </c>
      <c r="H27" s="60">
        <f>'1 lentelė'!M128</f>
        <v>0</v>
      </c>
      <c r="I27" s="60">
        <f>'1 lentelė'!O128</f>
        <v>0</v>
      </c>
      <c r="J27" s="60">
        <f>'1 lentelė'!Q128</f>
        <v>0</v>
      </c>
      <c r="K27" s="25">
        <f t="shared" si="0"/>
        <v>1404711</v>
      </c>
    </row>
    <row r="28" spans="2:11" s="66" customFormat="1" ht="51" hidden="1" x14ac:dyDescent="0.25">
      <c r="B28" s="60" t="s">
        <v>924</v>
      </c>
      <c r="C28" s="60" t="s">
        <v>923</v>
      </c>
      <c r="D28" s="60">
        <v>0</v>
      </c>
      <c r="E28" s="60">
        <v>0</v>
      </c>
      <c r="F28" s="60">
        <v>0</v>
      </c>
      <c r="G28" s="60">
        <v>0</v>
      </c>
      <c r="H28" s="109">
        <f>'1 lentelė'!M133</f>
        <v>746535.25</v>
      </c>
      <c r="I28" s="109">
        <f>'1 lentelė'!O133</f>
        <v>371742.05</v>
      </c>
      <c r="J28" s="109">
        <f>'1 lentelė'!Q133</f>
        <v>0</v>
      </c>
      <c r="K28" s="25">
        <f t="shared" si="0"/>
        <v>1118277.3</v>
      </c>
    </row>
    <row r="29" spans="2:11" s="66" customFormat="1" ht="89.25" hidden="1" x14ac:dyDescent="0.25">
      <c r="B29" s="60" t="s">
        <v>699</v>
      </c>
      <c r="C29" s="60" t="s">
        <v>922</v>
      </c>
      <c r="D29" s="60">
        <f>'1 lentelė'!E142</f>
        <v>0</v>
      </c>
      <c r="E29" s="60">
        <f>'1 lentelė'!G142</f>
        <v>0</v>
      </c>
      <c r="F29" s="60">
        <f>'1 lentelė'!I142</f>
        <v>0</v>
      </c>
      <c r="G29" s="60">
        <f>'1 lentelė'!K142</f>
        <v>0</v>
      </c>
      <c r="H29" s="60">
        <f>'1 lentelė'!M142</f>
        <v>35150.620000000003</v>
      </c>
      <c r="I29" s="60">
        <f>'1 lentelė'!O142</f>
        <v>0</v>
      </c>
      <c r="J29" s="60">
        <f>'1 lentelė'!Q142</f>
        <v>0</v>
      </c>
      <c r="K29" s="60">
        <f t="shared" si="0"/>
        <v>35150.620000000003</v>
      </c>
    </row>
    <row r="30" spans="2:11" s="66" customFormat="1" ht="38.25" hidden="1" x14ac:dyDescent="0.25">
      <c r="B30" s="60" t="s">
        <v>716</v>
      </c>
      <c r="C30" s="60" t="s">
        <v>925</v>
      </c>
      <c r="D30" s="60">
        <f>'1 lentelė'!E150</f>
        <v>0</v>
      </c>
      <c r="E30" s="60">
        <f>'1 lentelė'!G150</f>
        <v>0</v>
      </c>
      <c r="F30" s="60">
        <f>'1 lentelė'!I150</f>
        <v>0</v>
      </c>
      <c r="G30" s="60">
        <f>'1 lentelė'!K150</f>
        <v>0</v>
      </c>
      <c r="H30" s="60">
        <f>'1 lentelė'!M150</f>
        <v>845738</v>
      </c>
      <c r="I30" s="60">
        <f>'1 lentelė'!O150</f>
        <v>0</v>
      </c>
      <c r="J30" s="60">
        <f>'1 lentelė'!Q150</f>
        <v>0</v>
      </c>
      <c r="K30" s="60">
        <f t="shared" si="0"/>
        <v>845738</v>
      </c>
    </row>
    <row r="31" spans="2:11" s="66" customFormat="1" ht="25.5" hidden="1" x14ac:dyDescent="0.25">
      <c r="B31" s="60" t="s">
        <v>927</v>
      </c>
      <c r="C31" s="60" t="s">
        <v>926</v>
      </c>
      <c r="D31" s="60">
        <f>'1 lentelė'!E158</f>
        <v>0</v>
      </c>
      <c r="E31" s="60">
        <f>'1 lentelė'!G158</f>
        <v>0</v>
      </c>
      <c r="F31" s="60">
        <f>'1 lentelė'!I158</f>
        <v>0</v>
      </c>
      <c r="G31" s="60">
        <f>'1 lentelė'!K158</f>
        <v>43255</v>
      </c>
      <c r="H31" s="60">
        <f>'1 lentelė'!M158</f>
        <v>767493</v>
      </c>
      <c r="I31" s="60">
        <f>'1 lentelė'!O158</f>
        <v>0</v>
      </c>
      <c r="J31" s="60">
        <f>'1 lentelė'!Q158</f>
        <v>0</v>
      </c>
      <c r="K31" s="60">
        <f t="shared" si="0"/>
        <v>810748</v>
      </c>
    </row>
    <row r="32" spans="2:11" s="66" customFormat="1" ht="25.5" hidden="1" x14ac:dyDescent="0.25">
      <c r="B32" s="60" t="s">
        <v>740</v>
      </c>
      <c r="C32" s="60" t="s">
        <v>928</v>
      </c>
      <c r="D32" s="60">
        <f>'1 lentelė'!E163</f>
        <v>0</v>
      </c>
      <c r="E32" s="60">
        <f>'1 lentelė'!G163</f>
        <v>0</v>
      </c>
      <c r="F32" s="60">
        <f>'1 lentelė'!I163</f>
        <v>1830610.27</v>
      </c>
      <c r="G32" s="60">
        <f>'1 lentelė'!K163</f>
        <v>366418</v>
      </c>
      <c r="H32" s="60">
        <f>'1 lentelė'!M163</f>
        <v>0</v>
      </c>
      <c r="I32" s="60">
        <f>'1 lentelė'!O163</f>
        <v>0</v>
      </c>
      <c r="J32" s="60">
        <f>'1 lentelė'!Q163</f>
        <v>0</v>
      </c>
      <c r="K32" s="60">
        <f t="shared" si="0"/>
        <v>2197028.27</v>
      </c>
    </row>
    <row r="33" spans="2:11" s="66" customFormat="1" ht="38.25" hidden="1" x14ac:dyDescent="0.25">
      <c r="B33" s="60" t="s">
        <v>750</v>
      </c>
      <c r="C33" s="60" t="s">
        <v>929</v>
      </c>
      <c r="D33" s="60">
        <f>'1 lentelė'!E171</f>
        <v>0</v>
      </c>
      <c r="E33" s="60">
        <f>'1 lentelė'!G171</f>
        <v>0</v>
      </c>
      <c r="F33" s="60">
        <f>'1 lentelė'!I171</f>
        <v>0</v>
      </c>
      <c r="G33" s="60">
        <f>'1 lentelė'!K171</f>
        <v>4766853.1099999994</v>
      </c>
      <c r="H33" s="60">
        <f>'1 lentelė'!M171</f>
        <v>0</v>
      </c>
      <c r="I33" s="60">
        <f>'1 lentelė'!O171</f>
        <v>0</v>
      </c>
      <c r="J33" s="60">
        <f>'1 lentelė'!Q171</f>
        <v>0</v>
      </c>
      <c r="K33" s="60">
        <f t="shared" si="0"/>
        <v>4766853.1099999994</v>
      </c>
    </row>
    <row r="34" spans="2:11" s="66" customFormat="1" ht="51" hidden="1" x14ac:dyDescent="0.25">
      <c r="B34" s="60" t="s">
        <v>768</v>
      </c>
      <c r="C34" s="60" t="s">
        <v>930</v>
      </c>
      <c r="D34" s="60">
        <f>'1 lentelė'!E179</f>
        <v>0</v>
      </c>
      <c r="E34" s="60">
        <f>'1 lentelė'!G179</f>
        <v>0</v>
      </c>
      <c r="F34" s="60">
        <f>'1 lentelė'!I179</f>
        <v>0</v>
      </c>
      <c r="G34" s="60">
        <f>'1 lentelė'!K179</f>
        <v>350398</v>
      </c>
      <c r="H34" s="60">
        <f>'1 lentelė'!M179</f>
        <v>542093</v>
      </c>
      <c r="I34" s="60">
        <f>'1 lentelė'!O179</f>
        <v>59500</v>
      </c>
      <c r="J34" s="60">
        <f>'1 lentelė'!Q179</f>
        <v>0</v>
      </c>
      <c r="K34" s="60">
        <f t="shared" si="0"/>
        <v>951991</v>
      </c>
    </row>
    <row r="35" spans="2:11" s="66" customFormat="1" x14ac:dyDescent="0.25"/>
    <row r="36" spans="2:11" s="66"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G47" sqref="G47"/>
    </sheetView>
  </sheetViews>
  <sheetFormatPr defaultRowHeight="15" x14ac:dyDescent="0.25"/>
  <cols>
    <col min="1" max="1" width="4.42578125" style="7"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46" t="s">
        <v>142</v>
      </c>
      <c r="H1" s="146"/>
      <c r="I1" s="146"/>
      <c r="J1" s="146"/>
    </row>
    <row r="2" spans="2:10" ht="15.75" x14ac:dyDescent="0.25">
      <c r="G2" s="147" t="s">
        <v>24</v>
      </c>
      <c r="H2" s="147"/>
      <c r="I2" s="147"/>
      <c r="J2" s="147"/>
    </row>
    <row r="3" spans="2:10" ht="15.75" x14ac:dyDescent="0.25">
      <c r="G3" s="147" t="s">
        <v>25</v>
      </c>
      <c r="H3" s="147"/>
      <c r="I3" s="147"/>
      <c r="J3" s="147"/>
    </row>
    <row r="5" spans="2:10" ht="15.75" x14ac:dyDescent="0.25">
      <c r="B5" s="1" t="s">
        <v>81</v>
      </c>
    </row>
    <row r="6" spans="2:10" ht="15.75" x14ac:dyDescent="0.25">
      <c r="B6" s="1" t="s">
        <v>78</v>
      </c>
    </row>
    <row r="7" spans="2:10" ht="15.75" x14ac:dyDescent="0.25">
      <c r="B7" s="21"/>
      <c r="C7" s="22" t="s">
        <v>74</v>
      </c>
      <c r="D7" s="22">
        <v>2014</v>
      </c>
      <c r="E7" s="22">
        <v>2015</v>
      </c>
      <c r="F7" s="22">
        <v>2016</v>
      </c>
      <c r="G7" s="22">
        <v>2017</v>
      </c>
      <c r="H7" s="22">
        <v>2018</v>
      </c>
      <c r="I7" s="22">
        <v>2019</v>
      </c>
      <c r="J7" s="22">
        <v>2020</v>
      </c>
    </row>
    <row r="8" spans="2:10" ht="38.25" x14ac:dyDescent="0.25">
      <c r="B8" s="25" t="s">
        <v>79</v>
      </c>
      <c r="C8" s="25" t="s">
        <v>80</v>
      </c>
      <c r="D8" s="23"/>
      <c r="E8" s="10"/>
      <c r="F8" s="23"/>
      <c r="G8" s="23"/>
      <c r="H8" s="23"/>
      <c r="I8" s="23"/>
      <c r="J8" s="23"/>
    </row>
    <row r="9" spans="2:10" s="112" customFormat="1" x14ac:dyDescent="0.25">
      <c r="B9" s="131" t="s">
        <v>466</v>
      </c>
      <c r="C9" s="131" t="s">
        <v>901</v>
      </c>
      <c r="D9" s="131">
        <f>'5 lentelė'!D9</f>
        <v>0</v>
      </c>
      <c r="E9" s="131">
        <f>'5 lentelė'!E9+'6 lentelė'!D9</f>
        <v>0</v>
      </c>
      <c r="F9" s="131">
        <f>'5 lentelė'!F9+'6 lentelė'!E9</f>
        <v>492354</v>
      </c>
      <c r="G9" s="131">
        <f>'5 lentelė'!G9+'6 lentelė'!F9</f>
        <v>4579774.33</v>
      </c>
      <c r="H9" s="128">
        <f>'5 lentelė'!H9+'6 lentelė'!G9</f>
        <v>7988387.0499999998</v>
      </c>
      <c r="I9" s="128">
        <f>'5 lentelė'!I9+'6 lentelė'!H9</f>
        <v>9455846.5500000007</v>
      </c>
      <c r="J9" s="128">
        <f>'5 lentelė'!J9+'6 lentelė'!I9</f>
        <v>9455846.5500000007</v>
      </c>
    </row>
    <row r="10" spans="2:10" ht="25.5" hidden="1" x14ac:dyDescent="0.25">
      <c r="B10" s="25" t="s">
        <v>902</v>
      </c>
      <c r="C10" s="25" t="s">
        <v>903</v>
      </c>
      <c r="D10" s="25">
        <f>'5 lentelė'!D10</f>
        <v>0</v>
      </c>
      <c r="E10" s="25">
        <f>'5 lentelė'!E10+'6 lentelė'!D10</f>
        <v>0</v>
      </c>
      <c r="F10" s="25">
        <f>'5 lentelė'!F10+'6 lentelė'!E10</f>
        <v>0</v>
      </c>
      <c r="G10" s="25">
        <f>'5 lentelė'!G10+'6 lentelė'!F10</f>
        <v>239072</v>
      </c>
      <c r="H10" s="25">
        <f>'5 lentelė'!H10+'6 lentelė'!G10</f>
        <v>239072</v>
      </c>
      <c r="I10" s="25">
        <f>'5 lentelė'!I10+'6 lentelė'!H10</f>
        <v>239072</v>
      </c>
      <c r="J10" s="25">
        <f>'5 lentelė'!J10+'6 lentelė'!I10</f>
        <v>239072</v>
      </c>
    </row>
    <row r="11" spans="2:10" ht="25.5" hidden="1" x14ac:dyDescent="0.25">
      <c r="B11" s="25" t="s">
        <v>904</v>
      </c>
      <c r="C11" s="25" t="s">
        <v>906</v>
      </c>
      <c r="D11" s="25">
        <f>'5 lentelė'!D11</f>
        <v>0</v>
      </c>
      <c r="E11" s="25">
        <f>'5 lentelė'!E11+'6 lentelė'!D11</f>
        <v>0</v>
      </c>
      <c r="F11" s="25">
        <f>'5 lentelė'!F11+'6 lentelė'!E11</f>
        <v>2321304</v>
      </c>
      <c r="G11" s="25">
        <f>'5 lentelė'!G11+'6 lentelė'!F11</f>
        <v>2321304</v>
      </c>
      <c r="H11" s="25">
        <f>'5 lentelė'!H11+'6 lentelė'!G11</f>
        <v>2321304</v>
      </c>
      <c r="I11" s="25">
        <f>'5 lentelė'!I11+'6 lentelė'!H11</f>
        <v>2321304</v>
      </c>
      <c r="J11" s="25">
        <f>'5 lentelė'!J11+'6 lentelė'!I11</f>
        <v>2321304</v>
      </c>
    </row>
    <row r="12" spans="2:10" ht="25.5" hidden="1" x14ac:dyDescent="0.25">
      <c r="B12" s="25" t="s">
        <v>544</v>
      </c>
      <c r="C12" s="25" t="s">
        <v>905</v>
      </c>
      <c r="D12" s="25">
        <f>'5 lentelė'!D12</f>
        <v>0</v>
      </c>
      <c r="E12" s="25">
        <f>'5 lentelė'!E12+'6 lentelė'!D12</f>
        <v>0</v>
      </c>
      <c r="F12" s="25">
        <f>'5 lentelė'!F12+'6 lentelė'!E12</f>
        <v>0</v>
      </c>
      <c r="G12" s="25">
        <f>'5 lentelė'!G12+'6 lentelė'!F12</f>
        <v>769018</v>
      </c>
      <c r="H12" s="25">
        <f>'5 lentelė'!H12+'6 lentelė'!G12</f>
        <v>769018</v>
      </c>
      <c r="I12" s="25">
        <f>'5 lentelė'!I12+'6 lentelė'!H12</f>
        <v>769018</v>
      </c>
      <c r="J12" s="25">
        <f>'5 lentelė'!J12+'6 lentelė'!I12</f>
        <v>769018</v>
      </c>
    </row>
    <row r="13" spans="2:10" hidden="1" x14ac:dyDescent="0.25">
      <c r="B13" s="25" t="s">
        <v>549</v>
      </c>
      <c r="C13" s="25" t="s">
        <v>907</v>
      </c>
      <c r="D13" s="25">
        <f>'5 lentelė'!D13</f>
        <v>0</v>
      </c>
      <c r="E13" s="25">
        <f>'5 lentelė'!E13+'6 lentelė'!D13</f>
        <v>0</v>
      </c>
      <c r="F13" s="25">
        <f>'5 lentelė'!F13+'6 lentelė'!E13</f>
        <v>0</v>
      </c>
      <c r="G13" s="25">
        <f>'5 lentelė'!G13+'6 lentelė'!F13</f>
        <v>1330069.83</v>
      </c>
      <c r="H13" s="25">
        <f>'5 lentelė'!H13+'6 lentelė'!G13</f>
        <v>3207040.93</v>
      </c>
      <c r="I13" s="25">
        <f>'5 lentelė'!I13+'6 lentelė'!H13</f>
        <v>3531010.02</v>
      </c>
      <c r="J13" s="25">
        <f>'5 lentelė'!J13+'6 lentelė'!I13</f>
        <v>3531010.02</v>
      </c>
    </row>
    <row r="14" spans="2:10" ht="25.5" hidden="1" x14ac:dyDescent="0.25">
      <c r="B14" s="25" t="s">
        <v>575</v>
      </c>
      <c r="C14" s="25" t="s">
        <v>908</v>
      </c>
      <c r="D14" s="25">
        <f>'5 lentelė'!D14</f>
        <v>0</v>
      </c>
      <c r="E14" s="25">
        <f>'5 lentelė'!E14+'6 lentelė'!D14</f>
        <v>0</v>
      </c>
      <c r="F14" s="25">
        <f>'5 lentelė'!F14+'6 lentelė'!E14</f>
        <v>0</v>
      </c>
      <c r="G14" s="25">
        <f>'5 lentelė'!G14+'6 lentelė'!F14</f>
        <v>0</v>
      </c>
      <c r="H14" s="25">
        <f>'5 lentelė'!H14+'6 lentelė'!G14</f>
        <v>308052</v>
      </c>
      <c r="I14" s="25">
        <f>'5 lentelė'!I14+'6 lentelė'!H14</f>
        <v>395552</v>
      </c>
      <c r="J14" s="25">
        <f>'5 lentelė'!J14+'6 lentelė'!I14</f>
        <v>395552</v>
      </c>
    </row>
    <row r="15" spans="2:10" ht="25.5" hidden="1" x14ac:dyDescent="0.25">
      <c r="B15" s="25" t="s">
        <v>584</v>
      </c>
      <c r="C15" s="25" t="s">
        <v>909</v>
      </c>
      <c r="D15" s="25">
        <f>'5 lentelė'!D15</f>
        <v>0</v>
      </c>
      <c r="E15" s="25">
        <f>'5 lentelė'!E15+'6 lentelė'!D15</f>
        <v>0</v>
      </c>
      <c r="F15" s="25">
        <f>'5 lentelė'!F15+'6 lentelė'!E15</f>
        <v>0</v>
      </c>
      <c r="G15" s="25">
        <f>'5 lentelė'!G15+'6 lentelė'!F15</f>
        <v>1467000</v>
      </c>
      <c r="H15" s="25">
        <f>'5 lentelė'!H15+'6 lentelė'!G15</f>
        <v>1467000</v>
      </c>
      <c r="I15" s="25">
        <f>'5 lentelė'!I15+'6 lentelė'!H15</f>
        <v>1467000</v>
      </c>
      <c r="J15" s="25">
        <f>'5 lentelė'!J15+'6 lentelė'!I15</f>
        <v>1467000</v>
      </c>
    </row>
    <row r="16" spans="2:10" hidden="1" x14ac:dyDescent="0.25">
      <c r="B16" s="25" t="s">
        <v>585</v>
      </c>
      <c r="C16" s="25" t="s">
        <v>910</v>
      </c>
      <c r="D16" s="25">
        <f>'5 lentelė'!D16</f>
        <v>0</v>
      </c>
      <c r="E16" s="25">
        <f>'5 lentelė'!E16+'6 lentelė'!D16</f>
        <v>0</v>
      </c>
      <c r="F16" s="25">
        <f>'5 lentelė'!F16+'6 lentelė'!E16</f>
        <v>42500</v>
      </c>
      <c r="G16" s="25">
        <f>'5 lentelė'!G16+'6 lentelė'!F16</f>
        <v>55845</v>
      </c>
      <c r="H16" s="25">
        <f>'5 lentelė'!H16+'6 lentelė'!G16</f>
        <v>55845</v>
      </c>
      <c r="I16" s="25">
        <f>'5 lentelė'!I16+'6 lentelė'!H16</f>
        <v>55845</v>
      </c>
      <c r="J16" s="25">
        <f>'5 lentelė'!J16+'6 lentelė'!I16</f>
        <v>55845</v>
      </c>
    </row>
    <row r="17" spans="2:10" ht="38.25" hidden="1" x14ac:dyDescent="0.25">
      <c r="B17" s="60" t="s">
        <v>599</v>
      </c>
      <c r="C17" s="60" t="s">
        <v>911</v>
      </c>
      <c r="D17" s="60">
        <f>'5 lentelė'!D17</f>
        <v>0</v>
      </c>
      <c r="E17" s="60">
        <f>'5 lentelė'!E17+'6 lentelė'!D17</f>
        <v>0</v>
      </c>
      <c r="F17" s="60">
        <f>'5 lentelė'!F17+'6 lentelė'!E17</f>
        <v>0</v>
      </c>
      <c r="G17" s="60">
        <f>'5 lentelė'!G17+'6 lentelė'!F17</f>
        <v>0</v>
      </c>
      <c r="H17" s="60">
        <f>'5 lentelė'!H17+'6 lentelė'!G17</f>
        <v>691815</v>
      </c>
      <c r="I17" s="60">
        <f>'5 lentelė'!I17+'6 lentelė'!H17</f>
        <v>691815</v>
      </c>
      <c r="J17" s="25">
        <f>'5 lentelė'!J17+'6 lentelė'!I17</f>
        <v>691815</v>
      </c>
    </row>
    <row r="18" spans="2:10" ht="25.5" hidden="1" x14ac:dyDescent="0.25">
      <c r="B18" s="25" t="s">
        <v>603</v>
      </c>
      <c r="C18" s="25" t="s">
        <v>912</v>
      </c>
      <c r="D18" s="25">
        <f>'5 lentelė'!D18</f>
        <v>0</v>
      </c>
      <c r="E18" s="25">
        <f>'5 lentelė'!E18+'6 lentelė'!D18</f>
        <v>0</v>
      </c>
      <c r="F18" s="60">
        <f>'5 lentelė'!F18+'6 lentelė'!E18</f>
        <v>0</v>
      </c>
      <c r="G18" s="60">
        <f>'5 lentelė'!G18+'6 lentelė'!F18</f>
        <v>1180721</v>
      </c>
      <c r="H18" s="60">
        <f>'5 lentelė'!H18+'6 lentelė'!G18</f>
        <v>1180721</v>
      </c>
      <c r="I18" s="60">
        <f>'5 lentelė'!I18+'6 lentelė'!H18</f>
        <v>1180721</v>
      </c>
      <c r="J18" s="25">
        <f>'5 lentelė'!J18+'6 lentelė'!I18</f>
        <v>1180721</v>
      </c>
    </row>
    <row r="19" spans="2:10" ht="38.25" hidden="1" x14ac:dyDescent="0.25">
      <c r="B19" s="25" t="s">
        <v>913</v>
      </c>
      <c r="C19" s="25" t="s">
        <v>914</v>
      </c>
      <c r="D19" s="25">
        <f>'5 lentelė'!D19</f>
        <v>0</v>
      </c>
      <c r="E19" s="25">
        <f>'5 lentelė'!E19+'6 lentelė'!D19</f>
        <v>0</v>
      </c>
      <c r="F19" s="60">
        <f>'5 lentelė'!F19+'6 lentelė'!E19</f>
        <v>0</v>
      </c>
      <c r="G19" s="60">
        <f>'5 lentelė'!G19+'6 lentelė'!F19</f>
        <v>253936.89</v>
      </c>
      <c r="H19" s="60">
        <f>'5 lentelė'!H19+'6 lentelė'!G19</f>
        <v>253936.89</v>
      </c>
      <c r="I19" s="60">
        <f>'5 lentelė'!I19+'6 lentelė'!H19</f>
        <v>253936.89</v>
      </c>
      <c r="J19" s="25">
        <f>'5 lentelė'!J19+'6 lentelė'!I19</f>
        <v>253936.89</v>
      </c>
    </row>
    <row r="20" spans="2:10" s="112" customFormat="1" ht="51" hidden="1" x14ac:dyDescent="0.25">
      <c r="B20" s="131" t="s">
        <v>628</v>
      </c>
      <c r="C20" s="131" t="s">
        <v>915</v>
      </c>
      <c r="D20" s="131">
        <f>'5 lentelė'!D20</f>
        <v>0</v>
      </c>
      <c r="E20" s="131">
        <f>'5 lentelė'!E20+'6 lentelė'!D20</f>
        <v>0</v>
      </c>
      <c r="F20" s="128">
        <f>'5 lentelė'!F20+'6 lentelė'!E20</f>
        <v>6292260.8300000001</v>
      </c>
      <c r="G20" s="128">
        <f>'5 lentelė'!G20+'6 lentelė'!F20</f>
        <v>7116095.2300000004</v>
      </c>
      <c r="H20" s="128">
        <f>'5 lentelė'!H20+'6 lentelė'!G20</f>
        <v>7116095.2300000004</v>
      </c>
      <c r="I20" s="128">
        <f>'5 lentelė'!I20+'6 lentelė'!H20</f>
        <v>8697731.2300000004</v>
      </c>
      <c r="J20" s="131">
        <f>'5 lentelė'!J20+'6 lentelė'!I20</f>
        <v>8697731.2300000004</v>
      </c>
    </row>
    <row r="21" spans="2:10" ht="25.5" hidden="1" x14ac:dyDescent="0.25">
      <c r="B21" s="25" t="s">
        <v>641</v>
      </c>
      <c r="C21" s="25" t="s">
        <v>916</v>
      </c>
      <c r="D21" s="25">
        <f>'5 lentelė'!D21</f>
        <v>0</v>
      </c>
      <c r="E21" s="25">
        <f>'5 lentelė'!E21+'6 lentelė'!D21</f>
        <v>0</v>
      </c>
      <c r="F21" s="25">
        <f>'5 lentelė'!F21+'6 lentelė'!E21</f>
        <v>0</v>
      </c>
      <c r="G21" s="25">
        <f>'5 lentelė'!G21+'6 lentelė'!F21</f>
        <v>1745596.94</v>
      </c>
      <c r="H21" s="25">
        <f>'5 lentelė'!H21+'6 lentelė'!G21</f>
        <v>1745596.94</v>
      </c>
      <c r="I21" s="25">
        <f>'5 lentelė'!I21+'6 lentelė'!H21</f>
        <v>1745596.94</v>
      </c>
      <c r="J21" s="25">
        <f>'5 lentelė'!J21+'6 lentelė'!I21</f>
        <v>1745596.94</v>
      </c>
    </row>
    <row r="22" spans="2:10" ht="25.5" hidden="1" x14ac:dyDescent="0.25">
      <c r="B22" s="25" t="s">
        <v>646</v>
      </c>
      <c r="C22" s="25" t="s">
        <v>917</v>
      </c>
      <c r="D22" s="25">
        <f>'5 lentelė'!D22</f>
        <v>0</v>
      </c>
      <c r="E22" s="25">
        <f>'5 lentelė'!E22+'6 lentelė'!D22</f>
        <v>0</v>
      </c>
      <c r="F22" s="25">
        <f>'5 lentelė'!F22+'6 lentelė'!E22</f>
        <v>0</v>
      </c>
      <c r="G22" s="25">
        <f>'5 lentelė'!G22+'6 lentelė'!F22</f>
        <v>2832116.82</v>
      </c>
      <c r="H22" s="25">
        <f>'5 lentelė'!H22+'6 lentelė'!G22</f>
        <v>2832116.82</v>
      </c>
      <c r="I22" s="25">
        <f>'5 lentelė'!I22+'6 lentelė'!H22</f>
        <v>2832116.82</v>
      </c>
      <c r="J22" s="25">
        <f>'5 lentelė'!J22+'6 lentelė'!I22</f>
        <v>2832116.82</v>
      </c>
    </row>
    <row r="23" spans="2:10" s="112" customFormat="1" hidden="1" x14ac:dyDescent="0.25">
      <c r="B23" s="131" t="s">
        <v>661</v>
      </c>
      <c r="C23" s="131" t="s">
        <v>918</v>
      </c>
      <c r="D23" s="131">
        <f>'5 lentelė'!D23</f>
        <v>0</v>
      </c>
      <c r="E23" s="131">
        <f>'5 lentelė'!E23+'6 lentelė'!D23</f>
        <v>0</v>
      </c>
      <c r="F23" s="131">
        <f>'5 lentelė'!F23+'6 lentelė'!E23</f>
        <v>203010.14</v>
      </c>
      <c r="G23" s="131">
        <f>'5 lentelė'!G23+'6 lentelė'!F23</f>
        <v>1578880.98</v>
      </c>
      <c r="H23" s="131">
        <f>'5 lentelė'!H23+'6 lentelė'!G23</f>
        <v>1945271.04</v>
      </c>
      <c r="I23" s="131">
        <f>'5 lentelė'!I23+'6 lentelė'!H23</f>
        <v>2964442.04</v>
      </c>
      <c r="J23" s="131">
        <f>'5 lentelė'!J23+'6 lentelė'!I23</f>
        <v>2964442.04</v>
      </c>
    </row>
    <row r="24" spans="2:10" hidden="1" x14ac:dyDescent="0.25">
      <c r="B24" s="25" t="s">
        <v>959</v>
      </c>
      <c r="C24" s="60" t="s">
        <v>961</v>
      </c>
      <c r="D24" s="25">
        <f>'5 lentelė'!D24</f>
        <v>0</v>
      </c>
      <c r="E24" s="25">
        <f>'5 lentelė'!E24+'6 lentelė'!D24</f>
        <v>0</v>
      </c>
      <c r="F24" s="25">
        <f>'5 lentelė'!F24+'6 lentelė'!E24</f>
        <v>0</v>
      </c>
      <c r="G24" s="25">
        <f>'5 lentelė'!G24+'6 lentelė'!F24</f>
        <v>0</v>
      </c>
      <c r="H24" s="25">
        <f>'5 lentelė'!H24+'6 lentelė'!G24</f>
        <v>1737720</v>
      </c>
      <c r="I24" s="25">
        <f>'5 lentelė'!I24+'6 lentelė'!H24</f>
        <v>1737720</v>
      </c>
      <c r="J24" s="25">
        <f>'5 lentelė'!J24+'6 lentelė'!I24</f>
        <v>1737720</v>
      </c>
    </row>
    <row r="25" spans="2:10" ht="25.5" hidden="1" x14ac:dyDescent="0.25">
      <c r="B25" s="25" t="s">
        <v>681</v>
      </c>
      <c r="C25" s="25" t="s">
        <v>919</v>
      </c>
      <c r="D25" s="25">
        <f>'5 lentelė'!D25</f>
        <v>0</v>
      </c>
      <c r="E25" s="25">
        <f>'5 lentelė'!E25+'6 lentelė'!D25</f>
        <v>0</v>
      </c>
      <c r="F25" s="25">
        <f>'5 lentelė'!F25+'6 lentelė'!E25</f>
        <v>0</v>
      </c>
      <c r="G25" s="25">
        <f>'5 lentelė'!G25+'6 lentelė'!F25</f>
        <v>0</v>
      </c>
      <c r="H25" s="25">
        <f>'5 lentelė'!H25+'6 lentelė'!G25</f>
        <v>560529</v>
      </c>
      <c r="I25" s="25">
        <f>'5 lentelė'!I25+'6 lentelė'!H25</f>
        <v>560529</v>
      </c>
      <c r="J25" s="25">
        <f>'5 lentelė'!J25+'6 lentelė'!I25</f>
        <v>560529</v>
      </c>
    </row>
    <row r="26" spans="2:10" ht="25.5" hidden="1" x14ac:dyDescent="0.25">
      <c r="B26" s="25" t="s">
        <v>686</v>
      </c>
      <c r="C26" s="25" t="s">
        <v>920</v>
      </c>
      <c r="D26" s="25">
        <f>'5 lentelė'!D26</f>
        <v>0</v>
      </c>
      <c r="E26" s="25">
        <f>'5 lentelė'!E26+'6 lentelė'!D26</f>
        <v>0</v>
      </c>
      <c r="F26" s="25">
        <f>'5 lentelė'!F26+'6 lentelė'!E26</f>
        <v>0</v>
      </c>
      <c r="G26" s="25">
        <f>'5 lentelė'!G26+'6 lentelė'!F26</f>
        <v>830529</v>
      </c>
      <c r="H26" s="25">
        <f>'5 lentelė'!H26+'6 lentelė'!G26</f>
        <v>830529</v>
      </c>
      <c r="I26" s="25">
        <f>'5 lentelė'!I26+'6 lentelė'!H26</f>
        <v>830529</v>
      </c>
      <c r="J26" s="25">
        <f>'5 lentelė'!J26+'6 lentelė'!I26</f>
        <v>830529</v>
      </c>
    </row>
    <row r="27" spans="2:10" ht="25.5" hidden="1" x14ac:dyDescent="0.25">
      <c r="B27" s="25" t="s">
        <v>693</v>
      </c>
      <c r="C27" s="25" t="s">
        <v>921</v>
      </c>
      <c r="D27" s="25">
        <f>'5 lentelė'!D27</f>
        <v>0</v>
      </c>
      <c r="E27" s="25">
        <f>'5 lentelė'!E27+'6 lentelė'!D27</f>
        <v>0</v>
      </c>
      <c r="F27" s="25">
        <f>'5 lentelė'!F27+'6 lentelė'!E27</f>
        <v>0</v>
      </c>
      <c r="G27" s="25">
        <f>'5 lentelė'!G27+'6 lentelė'!F27</f>
        <v>1404711</v>
      </c>
      <c r="H27" s="25">
        <f>'5 lentelė'!H27+'6 lentelė'!G27</f>
        <v>1404711</v>
      </c>
      <c r="I27" s="25">
        <f>'5 lentelė'!I27+'6 lentelė'!H27</f>
        <v>1404711</v>
      </c>
      <c r="J27" s="25">
        <f>'5 lentelė'!J27+'6 lentelė'!I27</f>
        <v>1404711</v>
      </c>
    </row>
    <row r="28" spans="2:10" ht="38.25" hidden="1" x14ac:dyDescent="0.25">
      <c r="B28" s="25" t="s">
        <v>924</v>
      </c>
      <c r="C28" s="25" t="s">
        <v>923</v>
      </c>
      <c r="D28" s="25">
        <f>'5 lentelė'!D28</f>
        <v>0</v>
      </c>
      <c r="E28" s="25">
        <f>'5 lentelė'!E28+'6 lentelė'!D28</f>
        <v>0</v>
      </c>
      <c r="F28" s="25">
        <f>'5 lentelė'!F28+'6 lentelė'!E28</f>
        <v>0</v>
      </c>
      <c r="G28" s="25">
        <f>'5 lentelė'!G28+'6 lentelė'!F28</f>
        <v>0</v>
      </c>
      <c r="H28" s="25">
        <f>'5 lentelė'!H28+'6 lentelė'!G28</f>
        <v>746535.25</v>
      </c>
      <c r="I28" s="25">
        <f>'5 lentelė'!I28+'6 lentelė'!H28</f>
        <v>1118277.3</v>
      </c>
      <c r="J28" s="25">
        <f>'5 lentelė'!J28+'6 lentelė'!I28</f>
        <v>1118277.3</v>
      </c>
    </row>
    <row r="29" spans="2:10" ht="63.75" hidden="1" x14ac:dyDescent="0.25">
      <c r="B29" s="25" t="s">
        <v>699</v>
      </c>
      <c r="C29" s="25" t="s">
        <v>922</v>
      </c>
      <c r="D29" s="25">
        <f>'5 lentelė'!D29</f>
        <v>0</v>
      </c>
      <c r="E29" s="25">
        <f>'5 lentelė'!E29+'6 lentelė'!D29</f>
        <v>0</v>
      </c>
      <c r="F29" s="25">
        <f>'5 lentelė'!F29+'6 lentelė'!E29</f>
        <v>0</v>
      </c>
      <c r="G29" s="25">
        <f>'5 lentelė'!G29+'6 lentelė'!F29</f>
        <v>0</v>
      </c>
      <c r="H29" s="25">
        <f>'5 lentelė'!H29+'6 lentelė'!G29</f>
        <v>35150.620000000003</v>
      </c>
      <c r="I29" s="25">
        <f>'5 lentelė'!I29+'6 lentelė'!H29</f>
        <v>35150.620000000003</v>
      </c>
      <c r="J29" s="25">
        <f>'5 lentelė'!J29+'6 lentelė'!I29</f>
        <v>35150.620000000003</v>
      </c>
    </row>
    <row r="30" spans="2:10" ht="25.5" hidden="1" x14ac:dyDescent="0.25">
      <c r="B30" s="25" t="s">
        <v>716</v>
      </c>
      <c r="C30" s="25" t="s">
        <v>925</v>
      </c>
      <c r="D30" s="25">
        <f>'5 lentelė'!D30</f>
        <v>0</v>
      </c>
      <c r="E30" s="25">
        <f>'5 lentelė'!E30+'6 lentelė'!D30</f>
        <v>0</v>
      </c>
      <c r="F30" s="25">
        <f>'5 lentelė'!F30+'6 lentelė'!E30</f>
        <v>0</v>
      </c>
      <c r="G30" s="25">
        <f>'5 lentelė'!G30+'6 lentelė'!F30</f>
        <v>0</v>
      </c>
      <c r="H30" s="25">
        <f>'5 lentelė'!H30+'6 lentelė'!G30</f>
        <v>845738</v>
      </c>
      <c r="I30" s="25">
        <f>'5 lentelė'!I30+'6 lentelė'!H30</f>
        <v>845738</v>
      </c>
      <c r="J30" s="25">
        <f>'5 lentelė'!J30+'6 lentelė'!I30</f>
        <v>845738</v>
      </c>
    </row>
    <row r="31" spans="2:10" ht="25.5" hidden="1" x14ac:dyDescent="0.25">
      <c r="B31" s="25" t="s">
        <v>927</v>
      </c>
      <c r="C31" s="25" t="s">
        <v>926</v>
      </c>
      <c r="D31" s="25">
        <f>'5 lentelė'!D31</f>
        <v>0</v>
      </c>
      <c r="E31" s="25">
        <f>'5 lentelė'!E31+'6 lentelė'!D31</f>
        <v>0</v>
      </c>
      <c r="F31" s="25">
        <f>'5 lentelė'!F31+'6 lentelė'!E31</f>
        <v>0</v>
      </c>
      <c r="G31" s="25">
        <f>'5 lentelė'!G31+'6 lentelė'!F31</f>
        <v>43255</v>
      </c>
      <c r="H31" s="25">
        <f>'5 lentelė'!H31+'6 lentelė'!G31</f>
        <v>810748</v>
      </c>
      <c r="I31" s="25">
        <f>'5 lentelė'!I31+'6 lentelė'!H31</f>
        <v>810748</v>
      </c>
      <c r="J31" s="25">
        <f>'5 lentelė'!J31+'6 lentelė'!I31</f>
        <v>810748</v>
      </c>
    </row>
    <row r="32" spans="2:10" hidden="1" x14ac:dyDescent="0.25">
      <c r="B32" s="25" t="s">
        <v>740</v>
      </c>
      <c r="C32" s="25" t="s">
        <v>928</v>
      </c>
      <c r="D32" s="25">
        <f>'5 lentelė'!D32</f>
        <v>0</v>
      </c>
      <c r="E32" s="25">
        <f>'5 lentelė'!E32+'6 lentelė'!D32</f>
        <v>0</v>
      </c>
      <c r="F32" s="25">
        <f>'5 lentelė'!F32+'6 lentelė'!E32</f>
        <v>1830610.27</v>
      </c>
      <c r="G32" s="25">
        <f>'5 lentelė'!G32+'6 lentelė'!F32</f>
        <v>2197028.27</v>
      </c>
      <c r="H32" s="25">
        <f>'5 lentelė'!H32+'6 lentelė'!G32</f>
        <v>2197028.27</v>
      </c>
      <c r="I32" s="25">
        <f>'5 lentelė'!I32+'6 lentelė'!H32</f>
        <v>2197028.27</v>
      </c>
      <c r="J32" s="25">
        <f>'5 lentelė'!J32+'6 lentelė'!I32</f>
        <v>2197028.27</v>
      </c>
    </row>
    <row r="33" spans="2:10" ht="25.5" hidden="1" x14ac:dyDescent="0.25">
      <c r="B33" s="25" t="s">
        <v>750</v>
      </c>
      <c r="C33" s="25" t="s">
        <v>929</v>
      </c>
      <c r="D33" s="25">
        <f>'5 lentelė'!D33</f>
        <v>0</v>
      </c>
      <c r="E33" s="25">
        <f>'5 lentelė'!E33+'6 lentelė'!D33</f>
        <v>0</v>
      </c>
      <c r="F33" s="25">
        <f>'5 lentelė'!F33+'6 lentelė'!E33</f>
        <v>0</v>
      </c>
      <c r="G33" s="25">
        <f>'5 lentelė'!G33+'6 lentelė'!F33</f>
        <v>4766853.1099999994</v>
      </c>
      <c r="H33" s="25">
        <f>'5 lentelė'!H33+'6 lentelė'!G33</f>
        <v>4766853.1099999994</v>
      </c>
      <c r="I33" s="25">
        <f>'5 lentelė'!I33+'6 lentelė'!H33</f>
        <v>4766853.1099999994</v>
      </c>
      <c r="J33" s="25">
        <f>'5 lentelė'!J33+'6 lentelė'!I33</f>
        <v>4766853.1099999994</v>
      </c>
    </row>
    <row r="34" spans="2:10" ht="25.5" hidden="1" x14ac:dyDescent="0.25">
      <c r="B34" s="25" t="s">
        <v>768</v>
      </c>
      <c r="C34" s="25" t="s">
        <v>930</v>
      </c>
      <c r="D34" s="25">
        <f>'5 lentelė'!D34</f>
        <v>0</v>
      </c>
      <c r="E34" s="25">
        <f>'5 lentelė'!E34+'6 lentelė'!D34</f>
        <v>0</v>
      </c>
      <c r="F34" s="25">
        <f>'5 lentelė'!F34+'6 lentelė'!E34</f>
        <v>0</v>
      </c>
      <c r="G34" s="25">
        <f>'5 lentelė'!G34+'6 lentelė'!F34</f>
        <v>350398</v>
      </c>
      <c r="H34" s="25">
        <f>'5 lentelė'!H34+'6 lentelė'!G34</f>
        <v>892491</v>
      </c>
      <c r="I34" s="25">
        <f>'5 lentelė'!I34+'6 lentelė'!H34</f>
        <v>951991</v>
      </c>
      <c r="J34" s="25">
        <f>'5 lentelė'!J34+'6 lentelė'!I34</f>
        <v>951991</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workbookViewId="0">
      <selection activeCell="B1" sqref="B1:H36"/>
    </sheetView>
  </sheetViews>
  <sheetFormatPr defaultRowHeight="15" x14ac:dyDescent="0.25"/>
  <cols>
    <col min="1" max="1" width="5" style="7" customWidth="1"/>
    <col min="3" max="3" width="74.140625" customWidth="1"/>
    <col min="4" max="4" width="28.42578125" customWidth="1"/>
    <col min="5" max="5" width="35.42578125" customWidth="1"/>
    <col min="6" max="6" width="34.7109375" customWidth="1"/>
  </cols>
  <sheetData>
    <row r="1" spans="2:8" ht="15.75" x14ac:dyDescent="0.25">
      <c r="E1" s="146" t="s">
        <v>142</v>
      </c>
      <c r="F1" s="146"/>
      <c r="G1" s="146"/>
      <c r="H1" s="146"/>
    </row>
    <row r="2" spans="2:8" ht="15.75" x14ac:dyDescent="0.25">
      <c r="E2" s="147" t="s">
        <v>24</v>
      </c>
      <c r="F2" s="147"/>
      <c r="G2" s="147"/>
      <c r="H2" s="147"/>
    </row>
    <row r="3" spans="2:8" ht="15.75" x14ac:dyDescent="0.25">
      <c r="E3" s="147" t="s">
        <v>25</v>
      </c>
      <c r="F3" s="147"/>
      <c r="G3" s="147"/>
      <c r="H3" s="147"/>
    </row>
    <row r="6" spans="2:8" ht="15.75" x14ac:dyDescent="0.25">
      <c r="B6" s="1" t="s">
        <v>135</v>
      </c>
    </row>
    <row r="7" spans="2:8" ht="78" customHeight="1" x14ac:dyDescent="0.25">
      <c r="B7" s="24" t="s">
        <v>72</v>
      </c>
      <c r="C7" s="24" t="s">
        <v>82</v>
      </c>
      <c r="D7" s="24" t="s">
        <v>139</v>
      </c>
      <c r="E7" s="24" t="s">
        <v>83</v>
      </c>
      <c r="F7" s="24" t="s">
        <v>84</v>
      </c>
    </row>
    <row r="8" spans="2:8" ht="15" hidden="1" customHeight="1" x14ac:dyDescent="0.25">
      <c r="B8" s="25">
        <v>1</v>
      </c>
      <c r="C8" s="15" t="s">
        <v>85</v>
      </c>
      <c r="D8" s="78">
        <v>0</v>
      </c>
      <c r="E8" s="78">
        <v>0</v>
      </c>
      <c r="F8" s="77">
        <v>0</v>
      </c>
    </row>
    <row r="9" spans="2:8" ht="17.25" hidden="1" customHeight="1" x14ac:dyDescent="0.25">
      <c r="B9" s="25">
        <v>2</v>
      </c>
      <c r="C9" s="15" t="s">
        <v>86</v>
      </c>
      <c r="D9" s="78">
        <v>0</v>
      </c>
      <c r="E9" s="78">
        <v>0</v>
      </c>
      <c r="F9" s="77">
        <v>0</v>
      </c>
    </row>
    <row r="10" spans="2:8" hidden="1" x14ac:dyDescent="0.25">
      <c r="B10" s="25">
        <v>3</v>
      </c>
      <c r="C10" s="15" t="s">
        <v>87</v>
      </c>
      <c r="D10" s="78">
        <v>0</v>
      </c>
      <c r="E10" s="78">
        <v>0</v>
      </c>
      <c r="F10" s="77">
        <v>0</v>
      </c>
    </row>
    <row r="11" spans="2:8" hidden="1" x14ac:dyDescent="0.25">
      <c r="B11" s="25">
        <v>4</v>
      </c>
      <c r="C11" s="15" t="s">
        <v>88</v>
      </c>
      <c r="D11" s="78">
        <v>1</v>
      </c>
      <c r="E11" s="78">
        <v>0</v>
      </c>
      <c r="F11" s="77">
        <v>0</v>
      </c>
    </row>
    <row r="12" spans="2:8" hidden="1" x14ac:dyDescent="0.25">
      <c r="B12" s="25">
        <v>5</v>
      </c>
      <c r="C12" s="15" t="s">
        <v>89</v>
      </c>
      <c r="D12" s="78">
        <v>6</v>
      </c>
      <c r="E12" s="78">
        <v>6</v>
      </c>
      <c r="F12" s="77">
        <f>'2 lentelė'!Q89+'2 lentelė'!Q90+'2 lentelė'!Q91+'2 lentelė'!Q92+'2 lentelė'!Q93+'2 lentelė'!Q94</f>
        <v>2832116.82</v>
      </c>
    </row>
    <row r="13" spans="2:8" hidden="1" x14ac:dyDescent="0.25">
      <c r="B13" s="25">
        <v>6</v>
      </c>
      <c r="C13" s="15" t="s">
        <v>90</v>
      </c>
      <c r="D13" s="78">
        <v>6</v>
      </c>
      <c r="E13" s="78">
        <v>3</v>
      </c>
      <c r="F13" s="77">
        <f>'2 lentelė'!Q75+'2 lentelė'!Q77+'2 lentelė'!Q81</f>
        <v>2675241.77</v>
      </c>
    </row>
    <row r="14" spans="2:8" s="112" customFormat="1" hidden="1" x14ac:dyDescent="0.25">
      <c r="B14" s="131">
        <v>7</v>
      </c>
      <c r="C14" s="31" t="s">
        <v>91</v>
      </c>
      <c r="D14" s="68">
        <v>8</v>
      </c>
      <c r="E14" s="68">
        <v>7</v>
      </c>
      <c r="F14" s="134">
        <f>'2 lentelė'!Q76+'2 lentelė'!Q78+'2 lentelė'!Q79+'2 lentelė'!Q80+'2 lentelė'!Q82+'2 lentelė'!Q83+'2 lentelė'!Q84</f>
        <v>6022489.46</v>
      </c>
    </row>
    <row r="15" spans="2:8" hidden="1" x14ac:dyDescent="0.25">
      <c r="B15" s="25">
        <v>8</v>
      </c>
      <c r="C15" s="15" t="s">
        <v>92</v>
      </c>
      <c r="D15" s="78">
        <v>2</v>
      </c>
      <c r="E15" s="78">
        <v>2</v>
      </c>
      <c r="F15" s="77">
        <f>'2 lentelė'!Q86+'2 lentelė'!Q87</f>
        <v>1745596.94</v>
      </c>
    </row>
    <row r="16" spans="2:8" hidden="1" x14ac:dyDescent="0.25">
      <c r="B16" s="25">
        <v>9</v>
      </c>
      <c r="C16" s="15" t="s">
        <v>93</v>
      </c>
      <c r="D16" s="78">
        <v>0</v>
      </c>
      <c r="E16" s="78">
        <v>0</v>
      </c>
      <c r="F16" s="77">
        <v>0</v>
      </c>
    </row>
    <row r="17" spans="2:7" hidden="1" x14ac:dyDescent="0.25">
      <c r="B17" s="60">
        <v>10</v>
      </c>
      <c r="C17" s="77" t="s">
        <v>94</v>
      </c>
      <c r="D17" s="78">
        <v>1</v>
      </c>
      <c r="E17" s="78">
        <v>1</v>
      </c>
      <c r="F17" s="77">
        <f>'2 lentelė'!Q59+'2 lentelė'!Q60</f>
        <v>691815</v>
      </c>
    </row>
    <row r="18" spans="2:7" hidden="1" x14ac:dyDescent="0.25">
      <c r="B18" s="25">
        <v>11</v>
      </c>
      <c r="C18" s="15" t="s">
        <v>95</v>
      </c>
      <c r="D18" s="78">
        <v>2</v>
      </c>
      <c r="E18" s="78">
        <v>1</v>
      </c>
      <c r="F18" s="77">
        <f>'2 lentelė'!Q38</f>
        <v>639199.93999999994</v>
      </c>
      <c r="G18" s="112"/>
    </row>
    <row r="19" spans="2:7" hidden="1" x14ac:dyDescent="0.25">
      <c r="B19" s="25">
        <v>12</v>
      </c>
      <c r="C19" s="15" t="s">
        <v>96</v>
      </c>
      <c r="D19" s="78">
        <v>7</v>
      </c>
      <c r="E19" s="78">
        <v>7</v>
      </c>
      <c r="F19" s="15">
        <f>'2 lentelė'!Q39+'2 lentelė'!Q40+'2 lentelė'!Q41+'2 lentelė'!Q42+'2 lentelė'!Q43+'2 lentelė'!Q44+'2 lentelė'!Q45</f>
        <v>2891810.08</v>
      </c>
      <c r="G19" s="112"/>
    </row>
    <row r="20" spans="2:7" hidden="1" x14ac:dyDescent="0.25">
      <c r="B20" s="25">
        <v>13</v>
      </c>
      <c r="C20" s="15" t="s">
        <v>97</v>
      </c>
      <c r="D20" s="78">
        <v>0</v>
      </c>
      <c r="E20" s="78">
        <v>0</v>
      </c>
      <c r="F20" s="15">
        <v>0</v>
      </c>
      <c r="G20" s="112"/>
    </row>
    <row r="21" spans="2:7" hidden="1" x14ac:dyDescent="0.25">
      <c r="B21" s="25">
        <v>14</v>
      </c>
      <c r="C21" s="15" t="s">
        <v>98</v>
      </c>
      <c r="D21" s="78">
        <v>0</v>
      </c>
      <c r="E21" s="78">
        <v>0</v>
      </c>
      <c r="F21" s="15">
        <v>0</v>
      </c>
      <c r="G21" s="112"/>
    </row>
    <row r="22" spans="2:7" hidden="1" x14ac:dyDescent="0.25">
      <c r="B22" s="25">
        <v>15</v>
      </c>
      <c r="C22" s="15" t="s">
        <v>99</v>
      </c>
      <c r="D22" s="78">
        <v>0</v>
      </c>
      <c r="E22" s="78">
        <v>0</v>
      </c>
      <c r="F22" s="15">
        <v>0</v>
      </c>
      <c r="G22" s="112"/>
    </row>
    <row r="23" spans="2:7" hidden="1" x14ac:dyDescent="0.25">
      <c r="B23" s="25">
        <v>16</v>
      </c>
      <c r="C23" s="15" t="s">
        <v>100</v>
      </c>
      <c r="D23" s="78">
        <v>0</v>
      </c>
      <c r="E23" s="78">
        <v>0</v>
      </c>
      <c r="F23" s="15">
        <v>0</v>
      </c>
      <c r="G23" s="112"/>
    </row>
    <row r="24" spans="2:7" hidden="1" x14ac:dyDescent="0.25">
      <c r="B24" s="25">
        <v>17</v>
      </c>
      <c r="C24" s="15" t="s">
        <v>101</v>
      </c>
      <c r="D24" s="78">
        <v>0</v>
      </c>
      <c r="E24" s="78">
        <v>0</v>
      </c>
      <c r="F24" s="15">
        <v>0</v>
      </c>
      <c r="G24" s="112"/>
    </row>
    <row r="25" spans="2:7" hidden="1" x14ac:dyDescent="0.25">
      <c r="B25" s="25">
        <v>18</v>
      </c>
      <c r="C25" s="15" t="s">
        <v>102</v>
      </c>
      <c r="D25" s="78">
        <v>0</v>
      </c>
      <c r="E25" s="78">
        <v>0</v>
      </c>
      <c r="F25" s="15">
        <v>0</v>
      </c>
      <c r="G25" s="112"/>
    </row>
    <row r="26" spans="2:7" ht="30" hidden="1" customHeight="1" x14ac:dyDescent="0.25">
      <c r="B26" s="25">
        <v>19</v>
      </c>
      <c r="C26" s="20" t="s">
        <v>138</v>
      </c>
      <c r="D26" s="78">
        <v>8</v>
      </c>
      <c r="E26" s="78">
        <v>7</v>
      </c>
      <c r="F26" s="15">
        <f>'2 lentelė'!Q48+'2 lentelė'!Q49+'2 lentelė'!Q50+'2 lentelė'!Q51+'2 lentelė'!Q53+'2 lentelė'!Q54+'2 lentelė'!Q55</f>
        <v>1905052</v>
      </c>
      <c r="G26" s="112"/>
    </row>
    <row r="27" spans="2:7" hidden="1" x14ac:dyDescent="0.25">
      <c r="B27" s="25">
        <v>20</v>
      </c>
      <c r="C27" s="15" t="s">
        <v>103</v>
      </c>
      <c r="D27" s="78">
        <v>0</v>
      </c>
      <c r="E27" s="78">
        <v>0</v>
      </c>
      <c r="F27" s="15">
        <v>0</v>
      </c>
      <c r="G27" s="112"/>
    </row>
    <row r="28" spans="2:7" hidden="1" x14ac:dyDescent="0.25">
      <c r="B28" s="25">
        <v>21</v>
      </c>
      <c r="C28" s="15" t="s">
        <v>104</v>
      </c>
      <c r="D28" s="78">
        <v>0</v>
      </c>
      <c r="E28" s="78">
        <v>0</v>
      </c>
      <c r="F28" s="15">
        <v>0</v>
      </c>
      <c r="G28" s="112"/>
    </row>
    <row r="29" spans="2:7" hidden="1" x14ac:dyDescent="0.25">
      <c r="B29" s="25">
        <v>22</v>
      </c>
      <c r="C29" s="20" t="s">
        <v>105</v>
      </c>
      <c r="D29" s="78">
        <v>3</v>
      </c>
      <c r="E29" s="78">
        <v>3</v>
      </c>
      <c r="F29" s="15">
        <f>'2 lentelė'!Q119+'2 lentelė'!Q120+'2 lentelė'!Q121</f>
        <v>830529</v>
      </c>
      <c r="G29" s="112"/>
    </row>
    <row r="30" spans="2:7" hidden="1" x14ac:dyDescent="0.25">
      <c r="B30" s="25">
        <v>23</v>
      </c>
      <c r="C30" s="20" t="s">
        <v>106</v>
      </c>
      <c r="D30" s="78">
        <v>2</v>
      </c>
      <c r="E30" s="78">
        <v>2</v>
      </c>
      <c r="F30" s="15">
        <f>'2 lentelė'!Q116+'2 lentelė'!Q117</f>
        <v>560529</v>
      </c>
      <c r="G30" s="112"/>
    </row>
    <row r="31" spans="2:7" hidden="1" x14ac:dyDescent="0.25">
      <c r="B31" s="25">
        <v>24</v>
      </c>
      <c r="C31" s="20" t="s">
        <v>107</v>
      </c>
      <c r="D31" s="78">
        <v>3</v>
      </c>
      <c r="E31" s="78">
        <v>3</v>
      </c>
      <c r="F31" s="15">
        <f>'2 lentelė'!Q24+'2 lentelė'!Q124+'2 lentelė'!Q125</f>
        <v>1845317.78</v>
      </c>
      <c r="G31" s="112"/>
    </row>
    <row r="32" spans="2:7" hidden="1" x14ac:dyDescent="0.25">
      <c r="B32" s="25">
        <v>25</v>
      </c>
      <c r="C32" s="20" t="s">
        <v>108</v>
      </c>
      <c r="D32" s="78">
        <v>4</v>
      </c>
      <c r="E32" s="78">
        <v>3</v>
      </c>
      <c r="F32" s="15">
        <f>'2 lentelė'!Q159+'2 lentelė'!Q160+'2 lentelė'!Q161</f>
        <v>987313.27</v>
      </c>
      <c r="G32" s="112"/>
    </row>
    <row r="33" spans="2:7" hidden="1" x14ac:dyDescent="0.25">
      <c r="B33" s="25">
        <v>26</v>
      </c>
      <c r="C33" s="20" t="s">
        <v>109</v>
      </c>
      <c r="D33" s="78">
        <v>4</v>
      </c>
      <c r="E33" s="78">
        <v>3</v>
      </c>
      <c r="F33" s="15">
        <f>'2 lentelė'!Q162+'2 lentelė'!Q163+'2 lentelė'!Q164</f>
        <v>1209715</v>
      </c>
      <c r="G33" s="112"/>
    </row>
    <row r="34" spans="2:7" hidden="1" x14ac:dyDescent="0.25">
      <c r="B34" s="25">
        <v>27</v>
      </c>
      <c r="C34" s="20" t="s">
        <v>1028</v>
      </c>
      <c r="D34" s="78">
        <v>12</v>
      </c>
      <c r="E34" s="78">
        <v>12</v>
      </c>
      <c r="F34" s="122">
        <f>'2 lentelė'!Q154+'2 lentelė'!Q155+'2 lentelė'!Q156+'2 lentelė'!Q157+'2 lentelė'!Q129+'2 lentelė'!Q130+'2 lentelė'!Q131+'2 lentelė'!Q132+'2 lentelė'!Q133+'2 lentelė'!Q134+'2 lentelė'!Q135+'2 lentelė'!Q136</f>
        <v>1929025.3</v>
      </c>
      <c r="G34" s="112"/>
    </row>
    <row r="35" spans="2:7" s="112" customFormat="1" ht="25.5" x14ac:dyDescent="0.25">
      <c r="B35" s="131">
        <v>28</v>
      </c>
      <c r="C35" s="32" t="s">
        <v>110</v>
      </c>
      <c r="D35" s="68">
        <v>5</v>
      </c>
      <c r="E35" s="68">
        <v>4</v>
      </c>
      <c r="F35" s="113">
        <f>'2 lentelė'!Q12+'2 lentelė'!Q20+'2 lentelė'!Q21+'2 lentelė'!Q22</f>
        <v>2801733.5</v>
      </c>
    </row>
    <row r="36" spans="2:7" s="112" customFormat="1" ht="25.5" x14ac:dyDescent="0.25">
      <c r="B36" s="131">
        <v>29</v>
      </c>
      <c r="C36" s="32" t="s">
        <v>111</v>
      </c>
      <c r="D36" s="68">
        <v>12</v>
      </c>
      <c r="E36" s="68">
        <v>5</v>
      </c>
      <c r="F36" s="113">
        <f>'2 lentelė'!Q15+'2 lentelė'!Q17+'2 lentelė'!Q18+'2 lentelė'!Q19+'2 lentelė'!Q31</f>
        <v>3193231.7199999997</v>
      </c>
    </row>
    <row r="37" spans="2:7" ht="25.5" hidden="1" x14ac:dyDescent="0.25">
      <c r="B37" s="25">
        <v>30</v>
      </c>
      <c r="C37" s="20" t="s">
        <v>112</v>
      </c>
      <c r="D37" s="78">
        <v>5</v>
      </c>
      <c r="E37" s="78">
        <v>5</v>
      </c>
      <c r="F37" s="15">
        <f>'2 lentelė'!Q14+'2 lentelė'!Q16+'2 lentelė'!Q23+'2 lentelė'!Q26+'2 lentelė'!Q28</f>
        <v>2884103</v>
      </c>
      <c r="G37" s="112"/>
    </row>
    <row r="38" spans="2:7" ht="25.5" hidden="1" x14ac:dyDescent="0.25">
      <c r="B38" s="25">
        <v>31</v>
      </c>
      <c r="C38" s="20" t="s">
        <v>113</v>
      </c>
      <c r="D38" s="78">
        <v>1</v>
      </c>
      <c r="E38" s="78">
        <v>1</v>
      </c>
      <c r="F38" s="15">
        <f>'2 lentelė'!Q27</f>
        <v>1452444</v>
      </c>
      <c r="G38" s="112"/>
    </row>
    <row r="39" spans="2:7" ht="25.5" hidden="1" x14ac:dyDescent="0.25">
      <c r="B39" s="25">
        <v>32</v>
      </c>
      <c r="C39" s="20" t="s">
        <v>114</v>
      </c>
      <c r="D39" s="78">
        <v>3</v>
      </c>
      <c r="E39" s="78">
        <v>1</v>
      </c>
      <c r="F39" s="15">
        <f>'2 lentelė'!Q13</f>
        <v>571713.55000000005</v>
      </c>
      <c r="G39" s="112"/>
    </row>
    <row r="40" spans="2:7" hidden="1" x14ac:dyDescent="0.25">
      <c r="B40" s="25">
        <v>33</v>
      </c>
      <c r="C40" s="20" t="s">
        <v>115</v>
      </c>
      <c r="D40" s="78">
        <v>6</v>
      </c>
      <c r="E40" s="78">
        <v>6</v>
      </c>
      <c r="F40" s="15">
        <f>'2 lentelė'!Q167+'2 lentelė'!Q168+'2 lentelė'!Q169+'2 lentelė'!Q170+'2 lentelė'!Q171+'2 lentelė'!Q172</f>
        <v>4766853.1099999994</v>
      </c>
      <c r="G40" s="112"/>
    </row>
    <row r="41" spans="2:7" ht="25.5" hidden="1" x14ac:dyDescent="0.25">
      <c r="B41" s="25">
        <v>34</v>
      </c>
      <c r="C41" s="20" t="s">
        <v>116</v>
      </c>
      <c r="D41" s="78">
        <v>1</v>
      </c>
      <c r="E41" s="78">
        <v>1</v>
      </c>
      <c r="F41" s="15">
        <f>'2 lentelė'!Q11</f>
        <v>1441408</v>
      </c>
      <c r="G41" s="112"/>
    </row>
    <row r="42" spans="2:7" hidden="1" x14ac:dyDescent="0.25">
      <c r="B42" s="25">
        <v>35</v>
      </c>
      <c r="C42" s="20" t="s">
        <v>117</v>
      </c>
      <c r="D42" s="78">
        <v>0</v>
      </c>
      <c r="E42" s="78">
        <v>0</v>
      </c>
      <c r="F42" s="15">
        <v>0</v>
      </c>
      <c r="G42" s="112"/>
    </row>
    <row r="43" spans="2:7" hidden="1" x14ac:dyDescent="0.25">
      <c r="B43" s="25">
        <v>36</v>
      </c>
      <c r="C43" s="20" t="s">
        <v>118</v>
      </c>
      <c r="D43" s="78">
        <v>1</v>
      </c>
      <c r="E43" s="78">
        <v>1</v>
      </c>
      <c r="F43" s="15">
        <f>'2 lentelė'!Q109</f>
        <v>1737720</v>
      </c>
      <c r="G43" s="112"/>
    </row>
    <row r="44" spans="2:7" hidden="1" x14ac:dyDescent="0.25">
      <c r="B44" s="25">
        <v>37</v>
      </c>
      <c r="C44" s="20" t="s">
        <v>119</v>
      </c>
      <c r="D44" s="78">
        <v>0</v>
      </c>
      <c r="E44" s="78">
        <v>0</v>
      </c>
      <c r="F44" s="15">
        <v>0</v>
      </c>
      <c r="G44" s="112"/>
    </row>
    <row r="45" spans="2:7" s="112" customFormat="1" hidden="1" x14ac:dyDescent="0.25">
      <c r="B45" s="131">
        <v>38</v>
      </c>
      <c r="C45" s="68" t="s">
        <v>120</v>
      </c>
      <c r="D45" s="68">
        <v>10</v>
      </c>
      <c r="E45" s="68">
        <v>10</v>
      </c>
      <c r="F45" s="31">
        <f>'2 lentelė'!Q96+'2 lentelė'!Q97+'2 lentelė'!Q98+'2 lentelė'!Q99+'2 lentelė'!Q100+'2 lentelė'!Q101+'2 lentelė'!Q102+'2 lentelė'!Q103+'2 lentelė'!Q104+'2 lentelė'!Q105</f>
        <v>2964442.0399999996</v>
      </c>
    </row>
    <row r="46" spans="2:7" hidden="1" x14ac:dyDescent="0.25">
      <c r="B46" s="25">
        <v>39</v>
      </c>
      <c r="C46" s="20" t="s">
        <v>121</v>
      </c>
      <c r="D46" s="78">
        <v>0</v>
      </c>
      <c r="E46" s="78">
        <v>0</v>
      </c>
      <c r="F46" s="77">
        <v>0</v>
      </c>
    </row>
    <row r="47" spans="2:7" hidden="1" x14ac:dyDescent="0.25">
      <c r="B47" s="25">
        <v>40</v>
      </c>
      <c r="C47" s="20" t="s">
        <v>122</v>
      </c>
      <c r="D47" s="78">
        <v>0</v>
      </c>
      <c r="E47" s="78">
        <v>0</v>
      </c>
      <c r="F47" s="77">
        <v>0</v>
      </c>
    </row>
    <row r="48" spans="2:7" hidden="1" x14ac:dyDescent="0.25">
      <c r="B48" s="25">
        <v>41</v>
      </c>
      <c r="C48" s="20" t="s">
        <v>123</v>
      </c>
      <c r="D48" s="78">
        <v>0</v>
      </c>
      <c r="E48" s="78">
        <v>0</v>
      </c>
      <c r="F48" s="77">
        <v>0</v>
      </c>
    </row>
    <row r="49" spans="2:6" hidden="1" x14ac:dyDescent="0.25">
      <c r="B49" s="25">
        <v>42</v>
      </c>
      <c r="C49" s="20" t="s">
        <v>124</v>
      </c>
      <c r="D49" s="78">
        <v>3</v>
      </c>
      <c r="E49" s="78">
        <v>1</v>
      </c>
      <c r="F49" s="77">
        <f>'2 lentelė'!Q71</f>
        <v>253936.89</v>
      </c>
    </row>
    <row r="50" spans="2:6" hidden="1" x14ac:dyDescent="0.25">
      <c r="B50" s="25">
        <v>43</v>
      </c>
      <c r="C50" s="15" t="s">
        <v>125</v>
      </c>
      <c r="D50" s="78">
        <v>1</v>
      </c>
      <c r="E50" s="78">
        <v>0</v>
      </c>
      <c r="F50" s="77">
        <v>0</v>
      </c>
    </row>
    <row r="51" spans="2:6" hidden="1" x14ac:dyDescent="0.25">
      <c r="B51" s="25">
        <v>44</v>
      </c>
      <c r="C51" s="20" t="s">
        <v>126</v>
      </c>
      <c r="D51" s="78">
        <v>4</v>
      </c>
      <c r="E51" s="78">
        <v>4</v>
      </c>
      <c r="F51" s="77">
        <f>'2 lentelė'!Q65+'2 lentelė'!Q66+'2 lentelė'!Q67+'2 lentelė'!Q68</f>
        <v>1180721</v>
      </c>
    </row>
    <row r="52" spans="2:6" hidden="1" x14ac:dyDescent="0.25">
      <c r="B52" s="25">
        <v>45</v>
      </c>
      <c r="C52" s="20" t="s">
        <v>127</v>
      </c>
      <c r="D52" s="78">
        <v>0</v>
      </c>
      <c r="E52" s="78">
        <v>0</v>
      </c>
      <c r="F52" s="77">
        <v>0</v>
      </c>
    </row>
    <row r="53" spans="2:6" hidden="1" x14ac:dyDescent="0.25">
      <c r="B53" s="25">
        <v>46</v>
      </c>
      <c r="C53" s="20" t="s">
        <v>128</v>
      </c>
      <c r="D53" s="78">
        <v>0</v>
      </c>
      <c r="E53" s="78">
        <v>0</v>
      </c>
      <c r="F53" s="77">
        <v>0</v>
      </c>
    </row>
    <row r="54" spans="2:6" hidden="1" x14ac:dyDescent="0.25">
      <c r="B54" s="25">
        <v>47</v>
      </c>
      <c r="C54" s="20" t="s">
        <v>129</v>
      </c>
      <c r="D54" s="78">
        <v>12</v>
      </c>
      <c r="E54" s="78">
        <v>12</v>
      </c>
      <c r="F54" s="77">
        <f>'2 lentelė'!Q138+'2 lentelė'!Q139+'2 lentelė'!Q140+'2 lentelė'!Q141+'2 lentelė'!Q142+'2 lentelė'!Q143+'2 lentelė'!Q146+'2 lentelė'!Q147+'2 lentelė'!Q148++'2 lentelė'!Q149+'2 lentelė'!Q150+'2 lentelė'!Q151</f>
        <v>880888.62</v>
      </c>
    </row>
    <row r="55" spans="2:6" hidden="1" x14ac:dyDescent="0.25">
      <c r="B55" s="25">
        <v>48</v>
      </c>
      <c r="C55" s="20" t="s">
        <v>130</v>
      </c>
      <c r="D55" s="78">
        <v>0</v>
      </c>
      <c r="E55" s="78">
        <v>0</v>
      </c>
      <c r="F55" s="77">
        <v>0</v>
      </c>
    </row>
    <row r="56" spans="2:6" hidden="1" x14ac:dyDescent="0.25">
      <c r="B56" s="25">
        <v>49</v>
      </c>
      <c r="C56" s="15" t="s">
        <v>131</v>
      </c>
      <c r="D56" s="78">
        <v>7</v>
      </c>
      <c r="E56" s="78">
        <v>7</v>
      </c>
      <c r="F56" s="77">
        <f>'2 lentelė'!Q175+'2 lentelė'!Q176+'2 lentelė'!Q177+'2 lentelė'!Q178+'2 lentelė'!Q179+'2 lentelė'!Q180+'2 lentelė'!Q181</f>
        <v>951991</v>
      </c>
    </row>
    <row r="57" spans="2:6" hidden="1" x14ac:dyDescent="0.25">
      <c r="B57" s="25">
        <v>50</v>
      </c>
      <c r="C57" s="15" t="s">
        <v>132</v>
      </c>
      <c r="D57" s="78">
        <v>3</v>
      </c>
      <c r="E57" s="78">
        <v>2</v>
      </c>
      <c r="F57" s="77">
        <f>'2 lentelė'!Q56+'2 lentelė'!Q57</f>
        <v>13345</v>
      </c>
    </row>
    <row r="58" spans="2:6" ht="25.5" hidden="1" x14ac:dyDescent="0.25">
      <c r="B58" s="25">
        <v>51</v>
      </c>
      <c r="C58" s="20" t="s">
        <v>133</v>
      </c>
      <c r="D58" s="78">
        <v>0</v>
      </c>
      <c r="E58" s="78">
        <v>0</v>
      </c>
      <c r="F58" s="77">
        <v>0</v>
      </c>
    </row>
    <row r="59" spans="2:6" ht="25.5" hidden="1" x14ac:dyDescent="0.25">
      <c r="B59" s="25">
        <v>52</v>
      </c>
      <c r="C59" s="20" t="s">
        <v>134</v>
      </c>
      <c r="D59" s="78">
        <v>0</v>
      </c>
      <c r="E59" s="78">
        <v>0</v>
      </c>
      <c r="F59" s="77">
        <v>0</v>
      </c>
    </row>
  </sheetData>
  <mergeCells count="3">
    <mergeCell ref="E1:H1"/>
    <mergeCell ref="E2:H2"/>
    <mergeCell ref="E3:H3"/>
  </mergeCells>
  <pageMargins left="0.7" right="0.7" top="0.75" bottom="0.75" header="0.3" footer="0.3"/>
  <pageSetup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workbookViewId="0">
      <selection activeCell="L72" sqref="L72"/>
    </sheetView>
  </sheetViews>
  <sheetFormatPr defaultRowHeight="15" x14ac:dyDescent="0.25"/>
  <cols>
    <col min="3" max="3" width="36.140625" customWidth="1"/>
  </cols>
  <sheetData>
    <row r="1" spans="2:14" ht="15.75" x14ac:dyDescent="0.25">
      <c r="K1" s="161" t="s">
        <v>142</v>
      </c>
      <c r="L1" s="161"/>
      <c r="M1" s="161"/>
      <c r="N1" s="161"/>
    </row>
    <row r="2" spans="2:14" ht="15.75" x14ac:dyDescent="0.25">
      <c r="K2" s="161" t="s">
        <v>24</v>
      </c>
      <c r="L2" s="161"/>
      <c r="M2" s="161"/>
      <c r="N2" s="61"/>
    </row>
    <row r="3" spans="2:14" ht="15.75" x14ac:dyDescent="0.25">
      <c r="K3" s="161" t="s">
        <v>965</v>
      </c>
      <c r="L3" s="161"/>
      <c r="M3" s="161"/>
      <c r="N3" s="61"/>
    </row>
    <row r="5" spans="2:14" s="66" customFormat="1" x14ac:dyDescent="0.25"/>
    <row r="6" spans="2:14" s="66" customFormat="1" ht="15.75" x14ac:dyDescent="0.25">
      <c r="B6" s="162" t="s">
        <v>966</v>
      </c>
      <c r="C6" s="162"/>
      <c r="D6" s="162"/>
      <c r="E6" s="162"/>
      <c r="F6" s="162"/>
      <c r="G6" s="162"/>
      <c r="H6" s="162"/>
      <c r="I6" s="162"/>
      <c r="J6" s="162"/>
      <c r="K6" s="162"/>
    </row>
    <row r="7" spans="2:14" s="66" customFormat="1" x14ac:dyDescent="0.25"/>
    <row r="8" spans="2:14" s="66" customFormat="1" ht="15.75" x14ac:dyDescent="0.25">
      <c r="B8" s="83" t="s">
        <v>967</v>
      </c>
      <c r="C8" s="89"/>
      <c r="D8" s="89"/>
      <c r="E8" s="89"/>
      <c r="F8" s="89"/>
      <c r="G8" s="89"/>
      <c r="H8" s="89"/>
      <c r="I8" s="89"/>
      <c r="J8" s="89"/>
    </row>
    <row r="9" spans="2:14" s="66" customFormat="1" x14ac:dyDescent="0.25"/>
    <row r="10" spans="2:14" s="66" customFormat="1" ht="15.75" x14ac:dyDescent="0.25">
      <c r="B10" s="90" t="s">
        <v>72</v>
      </c>
      <c r="C10" s="90" t="s">
        <v>968</v>
      </c>
      <c r="D10" s="90" t="s">
        <v>74</v>
      </c>
      <c r="E10" s="90">
        <v>2014</v>
      </c>
      <c r="F10" s="90">
        <v>2015</v>
      </c>
      <c r="G10" s="90">
        <v>2016</v>
      </c>
      <c r="H10" s="90">
        <v>2017</v>
      </c>
      <c r="I10" s="90">
        <v>2018</v>
      </c>
      <c r="J10" s="90">
        <v>2019</v>
      </c>
      <c r="K10" s="90">
        <v>2020</v>
      </c>
      <c r="L10" s="90">
        <v>2021</v>
      </c>
      <c r="M10" s="90">
        <v>2022</v>
      </c>
      <c r="N10" s="90">
        <v>2023</v>
      </c>
    </row>
    <row r="11" spans="2:14" s="66" customFormat="1" ht="39" hidden="1" x14ac:dyDescent="0.25">
      <c r="B11" s="64" t="s">
        <v>821</v>
      </c>
      <c r="C11" s="91" t="s">
        <v>824</v>
      </c>
      <c r="D11" s="64"/>
      <c r="E11" s="64">
        <v>0</v>
      </c>
      <c r="F11" s="64">
        <v>0</v>
      </c>
      <c r="G11" s="64">
        <v>0</v>
      </c>
      <c r="H11" s="64">
        <v>0</v>
      </c>
      <c r="I11" s="64">
        <v>3300</v>
      </c>
      <c r="J11" s="64">
        <v>570</v>
      </c>
      <c r="K11" s="64">
        <v>0</v>
      </c>
      <c r="L11" s="64">
        <v>0</v>
      </c>
      <c r="M11" s="64">
        <v>0</v>
      </c>
      <c r="N11" s="64">
        <v>0</v>
      </c>
    </row>
    <row r="12" spans="2:14" s="66" customFormat="1" ht="26.25" hidden="1" x14ac:dyDescent="0.25">
      <c r="B12" s="64" t="s">
        <v>804</v>
      </c>
      <c r="C12" s="91" t="s">
        <v>805</v>
      </c>
      <c r="D12" s="64"/>
      <c r="E12" s="64">
        <v>0</v>
      </c>
      <c r="F12" s="64">
        <v>0</v>
      </c>
      <c r="G12" s="64">
        <v>0</v>
      </c>
      <c r="H12" s="64">
        <v>0</v>
      </c>
      <c r="I12" s="64">
        <v>0</v>
      </c>
      <c r="J12" s="34">
        <v>4.5720000000000001</v>
      </c>
      <c r="K12" s="34">
        <v>0.8</v>
      </c>
      <c r="L12" s="34">
        <v>0</v>
      </c>
      <c r="M12" s="34">
        <v>0</v>
      </c>
      <c r="N12" s="34">
        <v>0</v>
      </c>
    </row>
    <row r="13" spans="2:14" s="66" customFormat="1" ht="26.25" hidden="1" x14ac:dyDescent="0.25">
      <c r="B13" s="64" t="s">
        <v>867</v>
      </c>
      <c r="C13" s="91" t="s">
        <v>868</v>
      </c>
      <c r="D13" s="64"/>
      <c r="E13" s="64">
        <v>0</v>
      </c>
      <c r="F13" s="64">
        <v>0</v>
      </c>
      <c r="G13" s="64">
        <v>0</v>
      </c>
      <c r="H13" s="64">
        <v>0</v>
      </c>
      <c r="I13" s="64">
        <v>0</v>
      </c>
      <c r="J13" s="34">
        <v>905</v>
      </c>
      <c r="K13" s="34">
        <v>1406</v>
      </c>
      <c r="L13" s="34">
        <v>0</v>
      </c>
      <c r="M13" s="34">
        <v>0</v>
      </c>
      <c r="N13" s="34">
        <v>0</v>
      </c>
    </row>
    <row r="14" spans="2:14" s="129" customFormat="1" ht="26.25" x14ac:dyDescent="0.25">
      <c r="B14" s="135" t="s">
        <v>788</v>
      </c>
      <c r="C14" s="136" t="s">
        <v>931</v>
      </c>
      <c r="D14" s="135"/>
      <c r="E14" s="135">
        <v>0</v>
      </c>
      <c r="F14" s="135">
        <v>0</v>
      </c>
      <c r="G14" s="135">
        <v>0</v>
      </c>
      <c r="H14" s="135">
        <v>0</v>
      </c>
      <c r="I14" s="135">
        <f>'3 lentelė'!N14+'3 lentelė'!N15+'3 lentelė'!N28+'3 lentelė'!N29+'3 lentelė'!N30</f>
        <v>253758</v>
      </c>
      <c r="J14" s="135">
        <v>162090</v>
      </c>
      <c r="K14" s="135">
        <v>54282</v>
      </c>
      <c r="L14" s="135">
        <v>0</v>
      </c>
      <c r="M14" s="135">
        <v>22620.5</v>
      </c>
      <c r="N14" s="135">
        <v>0</v>
      </c>
    </row>
    <row r="15" spans="2:14" s="129" customFormat="1" ht="26.25" x14ac:dyDescent="0.25">
      <c r="B15" s="135" t="s">
        <v>790</v>
      </c>
      <c r="C15" s="136" t="s">
        <v>932</v>
      </c>
      <c r="D15" s="135"/>
      <c r="E15" s="135">
        <v>0</v>
      </c>
      <c r="F15" s="135">
        <v>0</v>
      </c>
      <c r="G15" s="135">
        <v>0</v>
      </c>
      <c r="H15" s="135">
        <v>0</v>
      </c>
      <c r="I15" s="135">
        <v>800</v>
      </c>
      <c r="J15" s="135">
        <v>840</v>
      </c>
      <c r="K15" s="135">
        <v>500</v>
      </c>
      <c r="L15" s="135">
        <v>0</v>
      </c>
      <c r="M15" s="135">
        <v>0</v>
      </c>
      <c r="N15" s="135">
        <v>0</v>
      </c>
    </row>
    <row r="16" spans="2:14" s="129" customFormat="1" ht="26.25" hidden="1" x14ac:dyDescent="0.25">
      <c r="B16" s="135" t="s">
        <v>843</v>
      </c>
      <c r="C16" s="136" t="s">
        <v>844</v>
      </c>
      <c r="D16" s="135"/>
      <c r="E16" s="135">
        <v>0</v>
      </c>
      <c r="F16" s="135">
        <v>0</v>
      </c>
      <c r="G16" s="135">
        <v>0</v>
      </c>
      <c r="H16" s="135">
        <v>0</v>
      </c>
      <c r="I16" s="135">
        <v>0</v>
      </c>
      <c r="J16" s="135">
        <v>20.25</v>
      </c>
      <c r="K16" s="135">
        <v>0</v>
      </c>
      <c r="L16" s="135">
        <v>0</v>
      </c>
      <c r="M16" s="135">
        <v>0</v>
      </c>
      <c r="N16" s="135">
        <v>0</v>
      </c>
    </row>
    <row r="17" spans="2:14" s="129" customFormat="1" ht="39" hidden="1" x14ac:dyDescent="0.25">
      <c r="B17" s="135" t="s">
        <v>829</v>
      </c>
      <c r="C17" s="136" t="s">
        <v>839</v>
      </c>
      <c r="D17" s="135"/>
      <c r="E17" s="135">
        <v>0</v>
      </c>
      <c r="F17" s="135">
        <v>0</v>
      </c>
      <c r="G17" s="135">
        <v>0</v>
      </c>
      <c r="H17" s="135">
        <v>0</v>
      </c>
      <c r="I17" s="135">
        <v>0</v>
      </c>
      <c r="J17" s="135">
        <f>'3 lentelė'!Q77+'3 lentelė'!N78+'3 lentelė'!N80+'3 lentelė'!N81+'3 lentelė'!N82</f>
        <v>1014</v>
      </c>
      <c r="K17" s="135">
        <f>'3 lentelė'!N84+'3 lentelė'!N85</f>
        <v>458</v>
      </c>
      <c r="L17" s="135">
        <v>0</v>
      </c>
      <c r="M17" s="135">
        <f>'3 lentelė'!N86</f>
        <v>46</v>
      </c>
      <c r="N17" s="135">
        <v>0</v>
      </c>
    </row>
    <row r="18" spans="2:14" s="129" customFormat="1" ht="51.75" hidden="1" x14ac:dyDescent="0.25">
      <c r="B18" s="135" t="s">
        <v>831</v>
      </c>
      <c r="C18" s="136" t="s">
        <v>933</v>
      </c>
      <c r="D18" s="135"/>
      <c r="E18" s="135">
        <v>0</v>
      </c>
      <c r="F18" s="135">
        <v>0</v>
      </c>
      <c r="G18" s="135">
        <v>0</v>
      </c>
      <c r="H18" s="135">
        <v>0</v>
      </c>
      <c r="I18" s="135">
        <v>0</v>
      </c>
      <c r="J18" s="135">
        <f>'3 lentelė'!T77</f>
        <v>1032</v>
      </c>
      <c r="K18" s="135">
        <f>'3 lentelė'!Q84</f>
        <v>170</v>
      </c>
      <c r="L18" s="135">
        <v>0</v>
      </c>
      <c r="M18" s="135">
        <v>0</v>
      </c>
      <c r="N18" s="135">
        <v>0</v>
      </c>
    </row>
    <row r="19" spans="2:14" s="129" customFormat="1" ht="39" hidden="1" x14ac:dyDescent="0.25">
      <c r="B19" s="135" t="s">
        <v>833</v>
      </c>
      <c r="C19" s="136" t="s">
        <v>934</v>
      </c>
      <c r="D19" s="135"/>
      <c r="E19" s="135">
        <v>0</v>
      </c>
      <c r="F19" s="135">
        <v>0</v>
      </c>
      <c r="G19" s="135">
        <v>0</v>
      </c>
      <c r="H19" s="135">
        <v>0</v>
      </c>
      <c r="I19" s="135">
        <v>0</v>
      </c>
      <c r="J19" s="135">
        <f>'3 lentelė'!W77+'3 lentelė'!Q78+'3 lentelė'!Q80+'3 lentelė'!Q81+'3 lentelė'!Q82</f>
        <v>1502</v>
      </c>
      <c r="K19" s="135">
        <f>'3 lentelė'!T84+'3 lentelė'!Q85</f>
        <v>458</v>
      </c>
      <c r="L19" s="135">
        <v>0</v>
      </c>
      <c r="M19" s="135">
        <f>'3 lentelė'!Q86</f>
        <v>99</v>
      </c>
      <c r="N19" s="135">
        <v>0</v>
      </c>
    </row>
    <row r="20" spans="2:14" s="129" customFormat="1" ht="39" x14ac:dyDescent="0.25">
      <c r="B20" s="135" t="s">
        <v>835</v>
      </c>
      <c r="C20" s="136" t="s">
        <v>838</v>
      </c>
      <c r="D20" s="135"/>
      <c r="E20" s="135">
        <v>0</v>
      </c>
      <c r="F20" s="135">
        <v>0</v>
      </c>
      <c r="G20" s="135">
        <v>0</v>
      </c>
      <c r="H20" s="135">
        <v>0</v>
      </c>
      <c r="I20" s="135">
        <v>0</v>
      </c>
      <c r="J20" s="135">
        <f>'3 lentelė'!Z77+'3 lentelė'!T78+'3 lentelė'!T80+'3 lentelė'!T81</f>
        <v>613</v>
      </c>
      <c r="K20" s="135">
        <f>'3 lentelė'!W84</f>
        <v>170</v>
      </c>
      <c r="L20" s="135">
        <f>'3 lentelė'!T86</f>
        <v>66</v>
      </c>
      <c r="M20" s="135">
        <v>0</v>
      </c>
      <c r="N20" s="135">
        <v>0</v>
      </c>
    </row>
    <row r="21" spans="2:14" s="129" customFormat="1" ht="51.75" hidden="1" x14ac:dyDescent="0.25">
      <c r="B21" s="135" t="s">
        <v>851</v>
      </c>
      <c r="C21" s="136" t="s">
        <v>935</v>
      </c>
      <c r="D21" s="135"/>
      <c r="E21" s="135">
        <v>0</v>
      </c>
      <c r="F21" s="135">
        <v>0</v>
      </c>
      <c r="G21" s="135">
        <v>0</v>
      </c>
      <c r="H21" s="135">
        <v>0</v>
      </c>
      <c r="I21" s="135">
        <v>0</v>
      </c>
      <c r="J21" s="135">
        <v>0</v>
      </c>
      <c r="K21" s="135">
        <v>2</v>
      </c>
      <c r="L21" s="135">
        <v>3</v>
      </c>
      <c r="M21" s="135">
        <v>0</v>
      </c>
      <c r="N21" s="135">
        <v>0</v>
      </c>
    </row>
    <row r="22" spans="2:14" s="129" customFormat="1" ht="26.25" x14ac:dyDescent="0.25">
      <c r="B22" s="135" t="s">
        <v>853</v>
      </c>
      <c r="C22" s="136" t="s">
        <v>854</v>
      </c>
      <c r="D22" s="135"/>
      <c r="E22" s="135">
        <v>0</v>
      </c>
      <c r="F22" s="135">
        <v>0</v>
      </c>
      <c r="G22" s="135">
        <v>0</v>
      </c>
      <c r="H22" s="135">
        <v>0</v>
      </c>
      <c r="I22" s="135">
        <v>68</v>
      </c>
      <c r="J22" s="135">
        <v>29</v>
      </c>
      <c r="K22" s="135">
        <v>44</v>
      </c>
      <c r="L22" s="135">
        <v>29</v>
      </c>
      <c r="M22" s="135">
        <v>0</v>
      </c>
      <c r="N22" s="135">
        <v>0</v>
      </c>
    </row>
    <row r="23" spans="2:14" s="129" customFormat="1" ht="26.25" hidden="1" x14ac:dyDescent="0.25">
      <c r="B23" s="135" t="s">
        <v>892</v>
      </c>
      <c r="C23" s="136" t="s">
        <v>936</v>
      </c>
      <c r="D23" s="135"/>
      <c r="E23" s="135">
        <v>0</v>
      </c>
      <c r="F23" s="135">
        <v>0</v>
      </c>
      <c r="G23" s="135">
        <v>0</v>
      </c>
      <c r="H23" s="135">
        <v>0</v>
      </c>
      <c r="I23" s="135">
        <v>5</v>
      </c>
      <c r="J23" s="135">
        <v>1</v>
      </c>
      <c r="K23" s="135">
        <v>0</v>
      </c>
      <c r="L23" s="135">
        <v>0</v>
      </c>
      <c r="M23" s="135">
        <v>0</v>
      </c>
      <c r="N23" s="135">
        <v>0</v>
      </c>
    </row>
    <row r="24" spans="2:14" s="129" customFormat="1" ht="39" hidden="1" x14ac:dyDescent="0.25">
      <c r="B24" s="135" t="s">
        <v>886</v>
      </c>
      <c r="C24" s="136" t="s">
        <v>887</v>
      </c>
      <c r="D24" s="135"/>
      <c r="E24" s="135">
        <v>0</v>
      </c>
      <c r="F24" s="135">
        <v>0</v>
      </c>
      <c r="G24" s="135">
        <v>0</v>
      </c>
      <c r="H24" s="135">
        <v>0</v>
      </c>
      <c r="I24" s="135">
        <v>61</v>
      </c>
      <c r="J24" s="135">
        <v>55</v>
      </c>
      <c r="K24" s="135">
        <v>20</v>
      </c>
      <c r="L24" s="135">
        <v>0</v>
      </c>
      <c r="M24" s="135">
        <v>0</v>
      </c>
      <c r="N24" s="135">
        <v>0</v>
      </c>
    </row>
    <row r="25" spans="2:14" s="129" customFormat="1" hidden="1" x14ac:dyDescent="0.25">
      <c r="B25" s="135" t="s">
        <v>815</v>
      </c>
      <c r="C25" s="136" t="s">
        <v>937</v>
      </c>
      <c r="D25" s="135"/>
      <c r="E25" s="135">
        <v>0</v>
      </c>
      <c r="F25" s="135">
        <v>0</v>
      </c>
      <c r="G25" s="135">
        <v>2</v>
      </c>
      <c r="H25" s="135">
        <v>1</v>
      </c>
      <c r="I25" s="135">
        <v>0</v>
      </c>
      <c r="J25" s="135">
        <v>0</v>
      </c>
      <c r="K25" s="135">
        <v>0</v>
      </c>
      <c r="L25" s="135">
        <v>0</v>
      </c>
      <c r="M25" s="135">
        <v>0</v>
      </c>
      <c r="N25" s="135">
        <v>0</v>
      </c>
    </row>
    <row r="26" spans="2:14" s="129" customFormat="1" hidden="1" x14ac:dyDescent="0.25">
      <c r="B26" s="135" t="s">
        <v>799</v>
      </c>
      <c r="C26" s="136" t="s">
        <v>938</v>
      </c>
      <c r="D26" s="135"/>
      <c r="E26" s="135">
        <v>0</v>
      </c>
      <c r="F26" s="135">
        <v>0</v>
      </c>
      <c r="G26" s="135">
        <v>0</v>
      </c>
      <c r="H26" s="135">
        <v>0</v>
      </c>
      <c r="I26" s="135">
        <v>0</v>
      </c>
      <c r="J26" s="135">
        <v>0.58599999999999997</v>
      </c>
      <c r="K26" s="135">
        <v>0</v>
      </c>
      <c r="L26" s="135">
        <v>0</v>
      </c>
      <c r="M26" s="135">
        <v>0</v>
      </c>
      <c r="N26" s="135">
        <v>0</v>
      </c>
    </row>
    <row r="27" spans="2:14" s="129" customFormat="1" ht="26.25" hidden="1" x14ac:dyDescent="0.25">
      <c r="B27" s="135" t="s">
        <v>877</v>
      </c>
      <c r="C27" s="136" t="s">
        <v>878</v>
      </c>
      <c r="D27" s="135"/>
      <c r="E27" s="135">
        <v>0</v>
      </c>
      <c r="F27" s="135">
        <v>0</v>
      </c>
      <c r="G27" s="135">
        <v>0</v>
      </c>
      <c r="H27" s="135">
        <v>0</v>
      </c>
      <c r="I27" s="135">
        <v>0</v>
      </c>
      <c r="J27" s="135">
        <v>0</v>
      </c>
      <c r="K27" s="135">
        <v>1</v>
      </c>
      <c r="L27" s="135">
        <v>0</v>
      </c>
      <c r="M27" s="135">
        <v>0</v>
      </c>
      <c r="N27" s="135">
        <v>0</v>
      </c>
    </row>
    <row r="28" spans="2:14" s="129" customFormat="1" ht="39" hidden="1" x14ac:dyDescent="0.25">
      <c r="B28" s="135" t="s">
        <v>863</v>
      </c>
      <c r="C28" s="136" t="s">
        <v>939</v>
      </c>
      <c r="D28" s="135"/>
      <c r="E28" s="135">
        <v>0</v>
      </c>
      <c r="F28" s="135">
        <v>0</v>
      </c>
      <c r="G28" s="135">
        <v>0</v>
      </c>
      <c r="H28" s="135">
        <v>0</v>
      </c>
      <c r="I28" s="135">
        <v>0</v>
      </c>
      <c r="J28" s="135">
        <v>1</v>
      </c>
      <c r="K28" s="135">
        <v>1</v>
      </c>
      <c r="L28" s="135">
        <v>0</v>
      </c>
      <c r="M28" s="135">
        <v>0</v>
      </c>
      <c r="N28" s="135">
        <v>0</v>
      </c>
    </row>
    <row r="29" spans="2:14" s="129" customFormat="1" ht="26.25" hidden="1" x14ac:dyDescent="0.25">
      <c r="B29" s="135" t="s">
        <v>869</v>
      </c>
      <c r="C29" s="136" t="s">
        <v>940</v>
      </c>
      <c r="D29" s="135"/>
      <c r="E29" s="135">
        <v>0</v>
      </c>
      <c r="F29" s="135">
        <v>0</v>
      </c>
      <c r="G29" s="135">
        <v>0</v>
      </c>
      <c r="H29" s="135">
        <v>0</v>
      </c>
      <c r="I29" s="135">
        <v>0</v>
      </c>
      <c r="J29" s="135">
        <v>1</v>
      </c>
      <c r="K29" s="135">
        <v>2</v>
      </c>
      <c r="L29" s="135">
        <v>0</v>
      </c>
      <c r="M29" s="135">
        <v>0</v>
      </c>
      <c r="N29" s="135">
        <v>0</v>
      </c>
    </row>
    <row r="30" spans="2:14" s="129" customFormat="1" ht="26.25" hidden="1" x14ac:dyDescent="0.25">
      <c r="B30" s="135" t="s">
        <v>871</v>
      </c>
      <c r="C30" s="136" t="s">
        <v>872</v>
      </c>
      <c r="D30" s="135"/>
      <c r="E30" s="135">
        <v>0</v>
      </c>
      <c r="F30" s="135">
        <v>0</v>
      </c>
      <c r="G30" s="135">
        <v>0</v>
      </c>
      <c r="H30" s="135">
        <v>0</v>
      </c>
      <c r="I30" s="135">
        <v>0</v>
      </c>
      <c r="J30" s="135">
        <v>1</v>
      </c>
      <c r="K30" s="135">
        <v>1</v>
      </c>
      <c r="L30" s="135">
        <v>0</v>
      </c>
      <c r="M30" s="135">
        <v>0</v>
      </c>
      <c r="N30" s="135">
        <v>0</v>
      </c>
    </row>
    <row r="31" spans="2:14" s="129" customFormat="1" hidden="1" x14ac:dyDescent="0.25">
      <c r="B31" s="135" t="s">
        <v>825</v>
      </c>
      <c r="C31" s="136" t="s">
        <v>826</v>
      </c>
      <c r="D31" s="135"/>
      <c r="E31" s="135">
        <v>0</v>
      </c>
      <c r="F31" s="135">
        <v>0</v>
      </c>
      <c r="G31" s="135">
        <v>0</v>
      </c>
      <c r="H31" s="135">
        <v>0</v>
      </c>
      <c r="I31" s="135">
        <v>86</v>
      </c>
      <c r="J31" s="135">
        <v>0</v>
      </c>
      <c r="K31" s="135">
        <v>0</v>
      </c>
      <c r="L31" s="135">
        <v>0</v>
      </c>
      <c r="M31" s="135">
        <v>0</v>
      </c>
      <c r="N31" s="135">
        <v>0</v>
      </c>
    </row>
    <row r="32" spans="2:14" s="129" customFormat="1" hidden="1" x14ac:dyDescent="0.25">
      <c r="B32" s="135" t="s">
        <v>941</v>
      </c>
      <c r="C32" s="136" t="s">
        <v>899</v>
      </c>
      <c r="D32" s="135"/>
      <c r="E32" s="135">
        <v>0</v>
      </c>
      <c r="F32" s="135">
        <v>0</v>
      </c>
      <c r="G32" s="135">
        <v>0</v>
      </c>
      <c r="H32" s="135">
        <v>0</v>
      </c>
      <c r="I32" s="135">
        <v>0</v>
      </c>
      <c r="J32" s="135">
        <v>4</v>
      </c>
      <c r="K32" s="135">
        <v>1</v>
      </c>
      <c r="L32" s="135">
        <v>0</v>
      </c>
      <c r="M32" s="135">
        <v>0</v>
      </c>
      <c r="N32" s="135">
        <v>0</v>
      </c>
    </row>
    <row r="33" spans="2:14" s="129" customFormat="1" ht="51.75" hidden="1" x14ac:dyDescent="0.25">
      <c r="B33" s="135" t="s">
        <v>942</v>
      </c>
      <c r="C33" s="136" t="s">
        <v>943</v>
      </c>
      <c r="D33" s="135"/>
      <c r="E33" s="135">
        <v>0</v>
      </c>
      <c r="F33" s="135">
        <v>0</v>
      </c>
      <c r="G33" s="135">
        <v>0</v>
      </c>
      <c r="H33" s="135">
        <v>0</v>
      </c>
      <c r="I33" s="135">
        <v>0</v>
      </c>
      <c r="J33" s="135">
        <v>0</v>
      </c>
      <c r="K33" s="135">
        <v>0</v>
      </c>
      <c r="L33" s="135">
        <v>0</v>
      </c>
      <c r="M33" s="135">
        <v>0</v>
      </c>
      <c r="N33" s="135">
        <v>0</v>
      </c>
    </row>
    <row r="34" spans="2:14" s="129" customFormat="1" ht="26.25" hidden="1" x14ac:dyDescent="0.25">
      <c r="B34" s="135" t="s">
        <v>807</v>
      </c>
      <c r="C34" s="136" t="s">
        <v>808</v>
      </c>
      <c r="D34" s="135"/>
      <c r="E34" s="135">
        <v>0</v>
      </c>
      <c r="F34" s="135">
        <v>0</v>
      </c>
      <c r="G34" s="135">
        <v>0</v>
      </c>
      <c r="H34" s="135">
        <v>0</v>
      </c>
      <c r="I34" s="135">
        <v>0</v>
      </c>
      <c r="J34" s="135">
        <v>0.5</v>
      </c>
      <c r="K34" s="135">
        <v>1.06</v>
      </c>
      <c r="L34" s="135">
        <v>0</v>
      </c>
      <c r="M34" s="135">
        <v>0</v>
      </c>
      <c r="N34" s="135">
        <v>0</v>
      </c>
    </row>
    <row r="35" spans="2:14" s="129" customFormat="1" ht="26.25" hidden="1" x14ac:dyDescent="0.25">
      <c r="B35" s="135" t="s">
        <v>944</v>
      </c>
      <c r="C35" s="136" t="s">
        <v>811</v>
      </c>
      <c r="D35" s="135"/>
      <c r="E35" s="135">
        <v>0</v>
      </c>
      <c r="F35" s="135">
        <v>0</v>
      </c>
      <c r="G35" s="135">
        <v>0</v>
      </c>
      <c r="H35" s="135">
        <v>0</v>
      </c>
      <c r="I35" s="135">
        <v>0</v>
      </c>
      <c r="J35" s="135">
        <v>0.8</v>
      </c>
      <c r="K35" s="135">
        <v>0.8</v>
      </c>
      <c r="L35" s="135">
        <v>0</v>
      </c>
      <c r="M35" s="135">
        <v>0</v>
      </c>
      <c r="N35" s="135">
        <v>0</v>
      </c>
    </row>
    <row r="36" spans="2:14" s="129" customFormat="1" hidden="1" x14ac:dyDescent="0.25">
      <c r="B36" s="135" t="s">
        <v>945</v>
      </c>
      <c r="C36" s="136" t="s">
        <v>946</v>
      </c>
      <c r="D36" s="135"/>
      <c r="E36" s="135">
        <v>0</v>
      </c>
      <c r="F36" s="135">
        <v>0</v>
      </c>
      <c r="G36" s="135">
        <v>0</v>
      </c>
      <c r="H36" s="135">
        <v>1</v>
      </c>
      <c r="I36" s="135">
        <v>1</v>
      </c>
      <c r="J36" s="135">
        <v>1</v>
      </c>
      <c r="K36" s="135">
        <v>0</v>
      </c>
      <c r="L36" s="135">
        <v>0</v>
      </c>
      <c r="M36" s="135">
        <v>0</v>
      </c>
      <c r="N36" s="135">
        <v>0</v>
      </c>
    </row>
    <row r="37" spans="2:14" s="129" customFormat="1" ht="26.25" hidden="1" x14ac:dyDescent="0.25">
      <c r="B37" s="135" t="s">
        <v>817</v>
      </c>
      <c r="C37" s="136" t="s">
        <v>947</v>
      </c>
      <c r="D37" s="135"/>
      <c r="E37" s="135">
        <v>0</v>
      </c>
      <c r="F37" s="135">
        <v>0</v>
      </c>
      <c r="G37" s="135">
        <v>0</v>
      </c>
      <c r="H37" s="135">
        <v>0</v>
      </c>
      <c r="I37" s="135">
        <v>0</v>
      </c>
      <c r="J37" s="135">
        <v>4</v>
      </c>
      <c r="K37" s="135">
        <v>0</v>
      </c>
      <c r="L37" s="135">
        <v>0</v>
      </c>
      <c r="M37" s="135">
        <v>0</v>
      </c>
      <c r="N37" s="135">
        <v>0</v>
      </c>
    </row>
    <row r="38" spans="2:14" s="129" customFormat="1" ht="39" hidden="1" x14ac:dyDescent="0.25">
      <c r="B38" s="135" t="s">
        <v>841</v>
      </c>
      <c r="C38" s="136" t="s">
        <v>842</v>
      </c>
      <c r="D38" s="135"/>
      <c r="E38" s="135">
        <v>0</v>
      </c>
      <c r="F38" s="135">
        <v>0</v>
      </c>
      <c r="G38" s="135">
        <v>0</v>
      </c>
      <c r="H38" s="135">
        <v>0</v>
      </c>
      <c r="I38" s="135">
        <v>71.92</v>
      </c>
      <c r="J38" s="135">
        <v>52.58</v>
      </c>
      <c r="K38" s="135">
        <v>0</v>
      </c>
      <c r="L38" s="135">
        <v>0</v>
      </c>
      <c r="M38" s="135">
        <v>0</v>
      </c>
      <c r="N38" s="135">
        <v>0</v>
      </c>
    </row>
    <row r="39" spans="2:14" s="129" customFormat="1" ht="26.25" hidden="1" x14ac:dyDescent="0.25">
      <c r="B39" s="135" t="s">
        <v>846</v>
      </c>
      <c r="C39" s="136" t="s">
        <v>850</v>
      </c>
      <c r="D39" s="135"/>
      <c r="E39" s="135">
        <v>0</v>
      </c>
      <c r="F39" s="135">
        <v>0</v>
      </c>
      <c r="G39" s="135">
        <v>0</v>
      </c>
      <c r="H39" s="135">
        <v>0</v>
      </c>
      <c r="I39" s="135">
        <v>6069</v>
      </c>
      <c r="J39" s="135">
        <v>0</v>
      </c>
      <c r="K39" s="135">
        <v>0</v>
      </c>
      <c r="L39" s="135">
        <v>0</v>
      </c>
      <c r="M39" s="135">
        <v>0</v>
      </c>
      <c r="N39" s="135">
        <v>0</v>
      </c>
    </row>
    <row r="40" spans="2:14" s="129" customFormat="1" ht="26.25" hidden="1" x14ac:dyDescent="0.25">
      <c r="B40" s="135" t="s">
        <v>827</v>
      </c>
      <c r="C40" s="136" t="s">
        <v>828</v>
      </c>
      <c r="D40" s="135"/>
      <c r="E40" s="135">
        <v>0</v>
      </c>
      <c r="F40" s="135">
        <v>0</v>
      </c>
      <c r="G40" s="135">
        <v>0</v>
      </c>
      <c r="H40" s="135">
        <v>0</v>
      </c>
      <c r="I40" s="135">
        <f>'3 lentelė'!N79</f>
        <v>19.600000000000001</v>
      </c>
      <c r="J40" s="135">
        <f>'3 lentelė'!N77+'3 lentelė'!W80+'3 lentelė'!W81</f>
        <v>8.0399999999999991</v>
      </c>
      <c r="K40" s="135">
        <f>'3 lentelė'!N83</f>
        <v>0.93</v>
      </c>
      <c r="L40" s="135">
        <v>0</v>
      </c>
      <c r="M40" s="135">
        <v>0</v>
      </c>
      <c r="N40" s="135">
        <v>0</v>
      </c>
    </row>
    <row r="41" spans="2:14" s="129" customFormat="1" ht="39" hidden="1" x14ac:dyDescent="0.25">
      <c r="B41" s="135" t="s">
        <v>819</v>
      </c>
      <c r="C41" s="136" t="s">
        <v>823</v>
      </c>
      <c r="D41" s="135"/>
      <c r="E41" s="135">
        <v>0</v>
      </c>
      <c r="F41" s="135">
        <v>0</v>
      </c>
      <c r="G41" s="135">
        <v>0</v>
      </c>
      <c r="H41" s="135">
        <v>0</v>
      </c>
      <c r="I41" s="135">
        <v>2</v>
      </c>
      <c r="J41" s="135">
        <v>2</v>
      </c>
      <c r="K41" s="135">
        <v>0</v>
      </c>
      <c r="L41" s="135">
        <v>0</v>
      </c>
      <c r="M41" s="135">
        <v>0</v>
      </c>
      <c r="N41" s="135">
        <v>0</v>
      </c>
    </row>
    <row r="42" spans="2:14" s="129" customFormat="1" ht="26.25" x14ac:dyDescent="0.25">
      <c r="B42" s="135" t="s">
        <v>857</v>
      </c>
      <c r="C42" s="136" t="s">
        <v>859</v>
      </c>
      <c r="D42" s="135"/>
      <c r="E42" s="135">
        <v>0</v>
      </c>
      <c r="F42" s="135">
        <v>0</v>
      </c>
      <c r="G42" s="135">
        <v>0</v>
      </c>
      <c r="H42" s="135">
        <v>0</v>
      </c>
      <c r="I42" s="135">
        <v>1</v>
      </c>
      <c r="J42" s="135">
        <v>0</v>
      </c>
      <c r="K42" s="135">
        <v>4</v>
      </c>
      <c r="L42" s="135">
        <v>1</v>
      </c>
      <c r="M42" s="135">
        <v>0</v>
      </c>
      <c r="N42" s="135">
        <v>0</v>
      </c>
    </row>
    <row r="43" spans="2:14" s="129" customFormat="1" ht="26.25" hidden="1" x14ac:dyDescent="0.25">
      <c r="B43" s="135" t="s">
        <v>802</v>
      </c>
      <c r="C43" s="136" t="s">
        <v>803</v>
      </c>
      <c r="D43" s="135"/>
      <c r="E43" s="135">
        <v>0</v>
      </c>
      <c r="F43" s="135">
        <v>0</v>
      </c>
      <c r="G43" s="135">
        <v>0</v>
      </c>
      <c r="H43" s="135">
        <v>0</v>
      </c>
      <c r="I43" s="135">
        <v>0</v>
      </c>
      <c r="J43" s="135">
        <v>4</v>
      </c>
      <c r="K43" s="135">
        <v>0</v>
      </c>
      <c r="L43" s="135">
        <v>0</v>
      </c>
      <c r="M43" s="135">
        <v>0</v>
      </c>
      <c r="N43" s="135">
        <v>0</v>
      </c>
    </row>
    <row r="44" spans="2:14" s="129" customFormat="1" ht="26.25" hidden="1" x14ac:dyDescent="0.25">
      <c r="B44" s="135" t="s">
        <v>884</v>
      </c>
      <c r="C44" s="136" t="s">
        <v>948</v>
      </c>
      <c r="D44" s="135"/>
      <c r="E44" s="135">
        <v>0</v>
      </c>
      <c r="F44" s="135">
        <v>0</v>
      </c>
      <c r="G44" s="135">
        <v>0</v>
      </c>
      <c r="H44" s="135">
        <v>0</v>
      </c>
      <c r="I44" s="135">
        <v>2</v>
      </c>
      <c r="J44" s="135">
        <v>1</v>
      </c>
      <c r="K44" s="135">
        <v>1</v>
      </c>
      <c r="L44" s="135">
        <v>0</v>
      </c>
      <c r="M44" s="135">
        <v>0</v>
      </c>
      <c r="N44" s="135">
        <v>0</v>
      </c>
    </row>
    <row r="45" spans="2:14" s="129" customFormat="1" hidden="1" x14ac:dyDescent="0.25">
      <c r="B45" s="135" t="s">
        <v>890</v>
      </c>
      <c r="C45" s="136" t="s">
        <v>891</v>
      </c>
      <c r="D45" s="135"/>
      <c r="E45" s="135">
        <v>0</v>
      </c>
      <c r="F45" s="135">
        <v>0</v>
      </c>
      <c r="G45" s="135">
        <v>0</v>
      </c>
      <c r="H45" s="135">
        <v>0</v>
      </c>
      <c r="I45" s="135">
        <v>20</v>
      </c>
      <c r="J45" s="135">
        <v>31</v>
      </c>
      <c r="K45" s="135">
        <v>44</v>
      </c>
      <c r="L45" s="135">
        <v>0</v>
      </c>
      <c r="M45" s="135">
        <v>0</v>
      </c>
      <c r="N45" s="135">
        <v>0</v>
      </c>
    </row>
    <row r="46" spans="2:14" s="129" customFormat="1" ht="39" hidden="1" x14ac:dyDescent="0.25">
      <c r="B46" s="135" t="s">
        <v>795</v>
      </c>
      <c r="C46" s="136" t="s">
        <v>796</v>
      </c>
      <c r="D46" s="135"/>
      <c r="E46" s="135">
        <v>0</v>
      </c>
      <c r="F46" s="135">
        <v>0</v>
      </c>
      <c r="G46" s="135">
        <v>0</v>
      </c>
      <c r="H46" s="135">
        <v>0</v>
      </c>
      <c r="I46" s="135">
        <v>0</v>
      </c>
      <c r="J46" s="135">
        <v>34500</v>
      </c>
      <c r="K46" s="135">
        <v>0</v>
      </c>
      <c r="L46" s="135">
        <v>0</v>
      </c>
      <c r="M46" s="135">
        <v>0</v>
      </c>
      <c r="N46" s="135">
        <v>0</v>
      </c>
    </row>
    <row r="47" spans="2:14" s="129" customFormat="1" ht="26.25" hidden="1" x14ac:dyDescent="0.25">
      <c r="B47" s="135" t="s">
        <v>797</v>
      </c>
      <c r="C47" s="136" t="s">
        <v>798</v>
      </c>
      <c r="D47" s="135"/>
      <c r="E47" s="135">
        <v>0</v>
      </c>
      <c r="F47" s="135">
        <v>0</v>
      </c>
      <c r="G47" s="135">
        <v>0</v>
      </c>
      <c r="H47" s="135">
        <v>0</v>
      </c>
      <c r="I47" s="135">
        <v>0</v>
      </c>
      <c r="J47" s="135">
        <v>58</v>
      </c>
      <c r="K47" s="135">
        <v>0</v>
      </c>
      <c r="L47" s="135">
        <v>0</v>
      </c>
      <c r="M47" s="135">
        <v>0</v>
      </c>
      <c r="N47" s="135">
        <v>0</v>
      </c>
    </row>
    <row r="48" spans="2:14" s="129" customFormat="1" ht="51.75" hidden="1" x14ac:dyDescent="0.25">
      <c r="B48" s="135" t="s">
        <v>875</v>
      </c>
      <c r="C48" s="136" t="s">
        <v>949</v>
      </c>
      <c r="D48" s="135"/>
      <c r="E48" s="135">
        <v>0</v>
      </c>
      <c r="F48" s="135">
        <v>0</v>
      </c>
      <c r="G48" s="135">
        <v>0</v>
      </c>
      <c r="H48" s="135">
        <v>0</v>
      </c>
      <c r="I48" s="135">
        <v>2621</v>
      </c>
      <c r="J48" s="135">
        <v>0</v>
      </c>
      <c r="K48" s="135">
        <v>2625</v>
      </c>
      <c r="L48" s="135">
        <v>0</v>
      </c>
      <c r="M48" s="135">
        <v>3436</v>
      </c>
      <c r="N48" s="135">
        <v>0</v>
      </c>
    </row>
    <row r="49" spans="2:14" s="129" customFormat="1" ht="51.75" hidden="1" x14ac:dyDescent="0.25">
      <c r="B49" s="135" t="s">
        <v>950</v>
      </c>
      <c r="C49" s="136" t="s">
        <v>951</v>
      </c>
      <c r="D49" s="135"/>
      <c r="E49" s="135">
        <v>0</v>
      </c>
      <c r="F49" s="135">
        <v>0</v>
      </c>
      <c r="G49" s="135">
        <v>0</v>
      </c>
      <c r="H49" s="135">
        <v>0</v>
      </c>
      <c r="I49" s="135">
        <v>0</v>
      </c>
      <c r="J49" s="135">
        <v>0</v>
      </c>
      <c r="K49" s="135">
        <v>0</v>
      </c>
      <c r="L49" s="135">
        <v>0</v>
      </c>
      <c r="M49" s="135">
        <v>0</v>
      </c>
      <c r="N49" s="135">
        <v>0</v>
      </c>
    </row>
    <row r="50" spans="2:14" s="129" customFormat="1" ht="51.75" hidden="1" x14ac:dyDescent="0.25">
      <c r="B50" s="135" t="s">
        <v>894</v>
      </c>
      <c r="C50" s="136" t="s">
        <v>895</v>
      </c>
      <c r="D50" s="135"/>
      <c r="E50" s="135">
        <v>0</v>
      </c>
      <c r="F50" s="135">
        <v>0</v>
      </c>
      <c r="G50" s="135">
        <v>0</v>
      </c>
      <c r="H50" s="135">
        <v>0</v>
      </c>
      <c r="I50" s="135">
        <v>0</v>
      </c>
      <c r="J50" s="135">
        <v>33</v>
      </c>
      <c r="K50" s="135">
        <v>5</v>
      </c>
      <c r="L50" s="135">
        <v>0</v>
      </c>
      <c r="M50" s="135">
        <v>0</v>
      </c>
      <c r="N50" s="135">
        <v>0</v>
      </c>
    </row>
    <row r="51" spans="2:14" s="129" customFormat="1" ht="64.5" hidden="1" x14ac:dyDescent="0.25">
      <c r="B51" s="135" t="s">
        <v>896</v>
      </c>
      <c r="C51" s="136" t="s">
        <v>900</v>
      </c>
      <c r="D51" s="135"/>
      <c r="E51" s="135">
        <v>0</v>
      </c>
      <c r="F51" s="135">
        <v>0</v>
      </c>
      <c r="G51" s="135">
        <v>0</v>
      </c>
      <c r="H51" s="135">
        <v>0</v>
      </c>
      <c r="I51" s="135">
        <v>0</v>
      </c>
      <c r="J51" s="135">
        <v>90</v>
      </c>
      <c r="K51" s="135">
        <v>30</v>
      </c>
      <c r="L51" s="135">
        <v>0</v>
      </c>
      <c r="M51" s="135">
        <v>0</v>
      </c>
      <c r="N51" s="135">
        <v>0</v>
      </c>
    </row>
    <row r="52" spans="2:14" s="129" customFormat="1" ht="39" x14ac:dyDescent="0.25">
      <c r="B52" s="135" t="s">
        <v>855</v>
      </c>
      <c r="C52" s="136" t="s">
        <v>856</v>
      </c>
      <c r="D52" s="135"/>
      <c r="E52" s="135">
        <v>0</v>
      </c>
      <c r="F52" s="135">
        <v>0</v>
      </c>
      <c r="G52" s="135">
        <v>0</v>
      </c>
      <c r="H52" s="135">
        <v>0</v>
      </c>
      <c r="I52" s="135">
        <v>48.32</v>
      </c>
      <c r="J52" s="135">
        <v>2.2799999999999998</v>
      </c>
      <c r="K52" s="135">
        <v>70.489999999999995</v>
      </c>
      <c r="L52" s="135">
        <v>10</v>
      </c>
      <c r="M52" s="135">
        <v>0</v>
      </c>
      <c r="N52" s="135">
        <v>0</v>
      </c>
    </row>
    <row r="53" spans="2:14" s="66" customFormat="1" ht="26.25" hidden="1" x14ac:dyDescent="0.25">
      <c r="B53" s="64" t="s">
        <v>888</v>
      </c>
      <c r="C53" s="91" t="s">
        <v>889</v>
      </c>
      <c r="D53" s="64"/>
      <c r="E53" s="64">
        <v>0</v>
      </c>
      <c r="F53" s="64">
        <v>0</v>
      </c>
      <c r="G53" s="64">
        <v>0</v>
      </c>
      <c r="H53" s="64">
        <v>0</v>
      </c>
      <c r="I53" s="64">
        <v>42</v>
      </c>
      <c r="J53" s="34">
        <v>40</v>
      </c>
      <c r="K53" s="34">
        <v>16</v>
      </c>
      <c r="L53" s="34">
        <v>0</v>
      </c>
      <c r="M53" s="34">
        <v>0</v>
      </c>
      <c r="N53" s="34">
        <v>0</v>
      </c>
    </row>
    <row r="54" spans="2:14" s="66" customFormat="1" ht="26.25" hidden="1" x14ac:dyDescent="0.25">
      <c r="B54" s="64" t="s">
        <v>801</v>
      </c>
      <c r="C54" s="91" t="s">
        <v>952</v>
      </c>
      <c r="D54" s="64"/>
      <c r="E54" s="64">
        <v>0</v>
      </c>
      <c r="F54" s="64">
        <v>0</v>
      </c>
      <c r="G54" s="64">
        <v>0</v>
      </c>
      <c r="H54" s="64">
        <v>0</v>
      </c>
      <c r="I54" s="64">
        <v>0</v>
      </c>
      <c r="J54" s="34">
        <v>0</v>
      </c>
      <c r="K54" s="34">
        <v>0</v>
      </c>
      <c r="L54" s="34">
        <v>0</v>
      </c>
      <c r="M54" s="34">
        <v>0</v>
      </c>
      <c r="N54" s="34">
        <v>0</v>
      </c>
    </row>
    <row r="55" spans="2:14" s="66" customFormat="1" ht="39" hidden="1" x14ac:dyDescent="0.25">
      <c r="B55" s="64" t="s">
        <v>865</v>
      </c>
      <c r="C55" s="91" t="s">
        <v>866</v>
      </c>
      <c r="D55" s="64"/>
      <c r="E55" s="64">
        <v>0</v>
      </c>
      <c r="F55" s="64">
        <v>0</v>
      </c>
      <c r="G55" s="64">
        <v>0</v>
      </c>
      <c r="H55" s="64">
        <v>0</v>
      </c>
      <c r="I55" s="64">
        <v>0</v>
      </c>
      <c r="J55" s="34">
        <v>2</v>
      </c>
      <c r="K55" s="34">
        <v>4</v>
      </c>
      <c r="L55" s="34">
        <v>0</v>
      </c>
      <c r="M55" s="34">
        <v>0</v>
      </c>
      <c r="N55" s="34">
        <v>0</v>
      </c>
    </row>
    <row r="56" spans="2:14" s="66" customFormat="1" ht="26.25" hidden="1" x14ac:dyDescent="0.25">
      <c r="B56" s="64" t="s">
        <v>860</v>
      </c>
      <c r="C56" s="91" t="s">
        <v>861</v>
      </c>
      <c r="D56" s="64"/>
      <c r="E56" s="64">
        <v>0</v>
      </c>
      <c r="F56" s="64">
        <v>0</v>
      </c>
      <c r="G56" s="64">
        <v>0</v>
      </c>
      <c r="H56" s="64">
        <v>0</v>
      </c>
      <c r="I56" s="64">
        <v>0</v>
      </c>
      <c r="J56" s="34">
        <v>0</v>
      </c>
      <c r="K56" s="34">
        <v>0</v>
      </c>
      <c r="L56" s="34">
        <v>2</v>
      </c>
      <c r="M56" s="34">
        <v>0</v>
      </c>
      <c r="N56" s="34">
        <v>0</v>
      </c>
    </row>
    <row r="57" spans="2:14" s="66" customFormat="1" ht="64.5" hidden="1" x14ac:dyDescent="0.25">
      <c r="B57" s="64" t="s">
        <v>873</v>
      </c>
      <c r="C57" s="91" t="s">
        <v>964</v>
      </c>
      <c r="D57" s="64"/>
      <c r="E57" s="64">
        <v>0</v>
      </c>
      <c r="F57" s="64">
        <v>0</v>
      </c>
      <c r="G57" s="64">
        <v>0</v>
      </c>
      <c r="H57" s="64">
        <v>0</v>
      </c>
      <c r="I57" s="64">
        <v>60</v>
      </c>
      <c r="J57" s="34">
        <v>0</v>
      </c>
      <c r="K57" s="34">
        <v>0</v>
      </c>
      <c r="L57" s="34">
        <v>0</v>
      </c>
      <c r="M57" s="34">
        <v>41</v>
      </c>
      <c r="N57" s="34">
        <v>0</v>
      </c>
    </row>
    <row r="58" spans="2:14" s="66" customFormat="1" hidden="1" x14ac:dyDescent="0.25">
      <c r="B58" s="64" t="s">
        <v>962</v>
      </c>
      <c r="C58" s="91" t="s">
        <v>963</v>
      </c>
      <c r="D58" s="64"/>
      <c r="E58" s="64">
        <v>0</v>
      </c>
      <c r="F58" s="64">
        <v>0</v>
      </c>
      <c r="G58" s="64">
        <v>0</v>
      </c>
      <c r="H58" s="64">
        <v>0</v>
      </c>
      <c r="I58" s="64">
        <v>0</v>
      </c>
      <c r="J58" s="34">
        <v>0</v>
      </c>
      <c r="K58" s="34">
        <v>9</v>
      </c>
      <c r="L58" s="34">
        <v>0</v>
      </c>
      <c r="M58" s="34">
        <v>0</v>
      </c>
      <c r="N58" s="34">
        <v>0</v>
      </c>
    </row>
    <row r="59" spans="2:14" s="66" customFormat="1" ht="29.25" hidden="1" customHeight="1" x14ac:dyDescent="0.25">
      <c r="B59" s="64" t="s">
        <v>1009</v>
      </c>
      <c r="C59" s="91" t="s">
        <v>1010</v>
      </c>
      <c r="D59" s="110"/>
      <c r="E59" s="64">
        <v>0</v>
      </c>
      <c r="F59" s="64">
        <v>0</v>
      </c>
      <c r="G59" s="64">
        <v>0</v>
      </c>
      <c r="H59" s="64">
        <v>0</v>
      </c>
      <c r="I59" s="64">
        <v>0</v>
      </c>
      <c r="J59" s="34">
        <f>'3 lentelė'!N133+'3 lentelė'!N136+'3 lentelė'!N137</f>
        <v>22632</v>
      </c>
      <c r="K59" s="34">
        <f>'3 lentelė'!N131+'3 lentelė'!N132+'3 lentelė'!N134+'3 lentelė'!N138</f>
        <v>64194</v>
      </c>
      <c r="L59" s="34">
        <f>'3 lentelė'!N135</f>
        <v>19722</v>
      </c>
      <c r="M59" s="34">
        <v>0</v>
      </c>
      <c r="N59" s="34">
        <v>0</v>
      </c>
    </row>
    <row r="60" spans="2:14" s="66" customFormat="1" ht="51.75" hidden="1" x14ac:dyDescent="0.25">
      <c r="B60" s="64" t="s">
        <v>1011</v>
      </c>
      <c r="C60" s="91" t="s">
        <v>1012</v>
      </c>
      <c r="D60" s="110"/>
      <c r="E60" s="64">
        <v>0</v>
      </c>
      <c r="F60" s="64">
        <v>0</v>
      </c>
      <c r="G60" s="64">
        <v>0</v>
      </c>
      <c r="H60" s="64">
        <v>0</v>
      </c>
      <c r="I60" s="64">
        <v>0</v>
      </c>
      <c r="J60" s="34">
        <f>'3 lentelė'!Q133+'3 lentelė'!Q136+'3 lentelė'!Q137</f>
        <v>3</v>
      </c>
      <c r="K60" s="34">
        <f>'3 lentelė'!Q131+'3 lentelė'!Q132+'3 lentelė'!Q134+'3 lentelė'!Q138</f>
        <v>4</v>
      </c>
      <c r="L60" s="34">
        <f>'3 lentelė'!Q135</f>
        <v>1</v>
      </c>
      <c r="M60" s="34">
        <v>0</v>
      </c>
      <c r="N60" s="34">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tabSelected="1" topLeftCell="B1" workbookViewId="0">
      <selection activeCell="S14" sqref="S14"/>
    </sheetView>
  </sheetViews>
  <sheetFormatPr defaultRowHeight="15" x14ac:dyDescent="0.25"/>
  <cols>
    <col min="1" max="2" width="9.140625" style="7"/>
    <col min="3" max="3" width="36.140625" style="7" customWidth="1"/>
    <col min="4" max="16384" width="9.140625" style="7"/>
  </cols>
  <sheetData>
    <row r="1" spans="2:15" ht="15.75" x14ac:dyDescent="0.25">
      <c r="K1" s="161" t="s">
        <v>142</v>
      </c>
      <c r="L1" s="161"/>
      <c r="M1" s="161"/>
      <c r="N1" s="161"/>
    </row>
    <row r="2" spans="2:15" ht="15.75" x14ac:dyDescent="0.25">
      <c r="K2" s="161" t="s">
        <v>24</v>
      </c>
      <c r="L2" s="161"/>
      <c r="M2" s="161"/>
      <c r="N2" s="61"/>
    </row>
    <row r="3" spans="2:15" ht="15.75" x14ac:dyDescent="0.25">
      <c r="K3" s="161" t="s">
        <v>965</v>
      </c>
      <c r="L3" s="161"/>
      <c r="M3" s="161"/>
      <c r="N3" s="61"/>
    </row>
    <row r="6" spans="2:15" ht="15.75" x14ac:dyDescent="0.25">
      <c r="B6" s="163" t="s">
        <v>966</v>
      </c>
      <c r="C6" s="163"/>
      <c r="D6" s="163"/>
      <c r="E6" s="163"/>
      <c r="F6" s="163"/>
      <c r="G6" s="163"/>
      <c r="H6" s="163"/>
      <c r="I6" s="163"/>
      <c r="J6" s="163"/>
      <c r="K6" s="163"/>
    </row>
    <row r="8" spans="2:15" ht="15.75" x14ac:dyDescent="0.25">
      <c r="B8" s="164" t="s">
        <v>969</v>
      </c>
      <c r="C8" s="164"/>
      <c r="D8" s="164"/>
      <c r="E8" s="164"/>
      <c r="F8" s="164"/>
      <c r="G8" s="164"/>
      <c r="H8" s="164"/>
      <c r="I8" s="164"/>
      <c r="J8" s="164"/>
      <c r="K8" s="164"/>
      <c r="L8" s="164"/>
      <c r="M8" s="164"/>
      <c r="N8" s="164"/>
    </row>
    <row r="10" spans="2:15" ht="15.75" x14ac:dyDescent="0.25">
      <c r="B10" s="63" t="s">
        <v>72</v>
      </c>
      <c r="C10" s="63" t="s">
        <v>968</v>
      </c>
      <c r="D10" s="63" t="s">
        <v>74</v>
      </c>
      <c r="E10" s="63">
        <v>2014</v>
      </c>
      <c r="F10" s="63">
        <v>2015</v>
      </c>
      <c r="G10" s="63">
        <v>2016</v>
      </c>
      <c r="H10" s="63">
        <v>2017</v>
      </c>
      <c r="I10" s="63">
        <v>2018</v>
      </c>
      <c r="J10" s="63">
        <v>2019</v>
      </c>
      <c r="K10" s="63">
        <v>2020</v>
      </c>
      <c r="L10" s="63">
        <v>2021</v>
      </c>
      <c r="M10" s="63">
        <v>2022</v>
      </c>
      <c r="N10" s="63">
        <v>2023</v>
      </c>
    </row>
    <row r="11" spans="2:15" ht="39" hidden="1" x14ac:dyDescent="0.25">
      <c r="B11" s="34" t="s">
        <v>821</v>
      </c>
      <c r="C11" s="62" t="s">
        <v>824</v>
      </c>
      <c r="D11" s="34"/>
      <c r="E11" s="34">
        <f>'S_4 lentelė'!E11</f>
        <v>0</v>
      </c>
      <c r="F11" s="34">
        <f>E11+'S_4 lentelė'!F11</f>
        <v>0</v>
      </c>
      <c r="G11" s="34">
        <f>F11+'S_4 lentelė'!G11</f>
        <v>0</v>
      </c>
      <c r="H11" s="34">
        <f>G11+'S_4 lentelė'!H11</f>
        <v>0</v>
      </c>
      <c r="I11" s="34">
        <f>H11+'S_4 lentelė'!I11</f>
        <v>3300</v>
      </c>
      <c r="J11" s="34">
        <f>I11+'S_4 lentelė'!J11</f>
        <v>3870</v>
      </c>
      <c r="K11" s="34">
        <f>J11+'S_4 lentelė'!K11</f>
        <v>3870</v>
      </c>
      <c r="L11" s="34">
        <f>K11+'S_4 lentelė'!L11</f>
        <v>3870</v>
      </c>
      <c r="M11" s="34">
        <f>L11+'S_4 lentelė'!M11</f>
        <v>3870</v>
      </c>
      <c r="N11" s="34">
        <f>M11+'S_4 lentelė'!N11</f>
        <v>3870</v>
      </c>
    </row>
    <row r="12" spans="2:15" ht="26.25" hidden="1" x14ac:dyDescent="0.25">
      <c r="B12" s="34" t="s">
        <v>804</v>
      </c>
      <c r="C12" s="62" t="s">
        <v>805</v>
      </c>
      <c r="D12" s="34"/>
      <c r="E12" s="34">
        <f>'S_4 lentelė'!E12</f>
        <v>0</v>
      </c>
      <c r="F12" s="34">
        <f>E12+'S_4 lentelė'!F12</f>
        <v>0</v>
      </c>
      <c r="G12" s="34">
        <f>F12+'S_4 lentelė'!G12</f>
        <v>0</v>
      </c>
      <c r="H12" s="34">
        <f>G12+'S_4 lentelė'!H12</f>
        <v>0</v>
      </c>
      <c r="I12" s="34">
        <f>H12+'S_4 lentelė'!I12</f>
        <v>0</v>
      </c>
      <c r="J12" s="34">
        <f>I12+'S_4 lentelė'!J12</f>
        <v>4.5720000000000001</v>
      </c>
      <c r="K12" s="34">
        <f>J12+'S_4 lentelė'!K12</f>
        <v>5.3719999999999999</v>
      </c>
      <c r="L12" s="34">
        <f>K12+'S_4 lentelė'!L12</f>
        <v>5.3719999999999999</v>
      </c>
      <c r="M12" s="34">
        <f>L12+'S_4 lentelė'!M12</f>
        <v>5.3719999999999999</v>
      </c>
      <c r="N12" s="34">
        <f>M12+'S_4 lentelė'!N12</f>
        <v>5.3719999999999999</v>
      </c>
      <c r="O12" s="112"/>
    </row>
    <row r="13" spans="2:15" ht="26.25" hidden="1" x14ac:dyDescent="0.25">
      <c r="B13" s="34" t="s">
        <v>867</v>
      </c>
      <c r="C13" s="62" t="s">
        <v>868</v>
      </c>
      <c r="D13" s="34"/>
      <c r="E13" s="34">
        <f>'S_4 lentelė'!E13</f>
        <v>0</v>
      </c>
      <c r="F13" s="34">
        <f>E13+'S_4 lentelė'!F13</f>
        <v>0</v>
      </c>
      <c r="G13" s="34">
        <f>F13+'S_4 lentelė'!G13</f>
        <v>0</v>
      </c>
      <c r="H13" s="34">
        <f>G13+'S_4 lentelė'!H13</f>
        <v>0</v>
      </c>
      <c r="I13" s="34">
        <f>H13+'S_4 lentelė'!I13</f>
        <v>0</v>
      </c>
      <c r="J13" s="34">
        <f>I13+'S_4 lentelė'!J13</f>
        <v>905</v>
      </c>
      <c r="K13" s="34">
        <f>J13+'S_4 lentelė'!K13</f>
        <v>2311</v>
      </c>
      <c r="L13" s="34">
        <f>K13+'S_4 lentelė'!L13</f>
        <v>2311</v>
      </c>
      <c r="M13" s="34">
        <f>L13+'S_4 lentelė'!M13</f>
        <v>2311</v>
      </c>
      <c r="N13" s="34">
        <f>M13+'S_4 lentelė'!N13</f>
        <v>2311</v>
      </c>
      <c r="O13" s="112"/>
    </row>
    <row r="14" spans="2:15" s="112" customFormat="1" ht="26.25" x14ac:dyDescent="0.25">
      <c r="B14" s="123" t="s">
        <v>788</v>
      </c>
      <c r="C14" s="137" t="s">
        <v>931</v>
      </c>
      <c r="D14" s="123"/>
      <c r="E14" s="123">
        <f>'S_4 lentelė'!E14</f>
        <v>0</v>
      </c>
      <c r="F14" s="123">
        <f>E14+'S_4 lentelė'!F14</f>
        <v>0</v>
      </c>
      <c r="G14" s="123">
        <f>F14+'S_4 lentelė'!G14</f>
        <v>0</v>
      </c>
      <c r="H14" s="123">
        <f>G14+'S_4 lentelė'!H14</f>
        <v>0</v>
      </c>
      <c r="I14" s="123">
        <f>H14+'S_4 lentelė'!I14</f>
        <v>253758</v>
      </c>
      <c r="J14" s="135">
        <f>I14+'S_4 lentelė'!J14</f>
        <v>415848</v>
      </c>
      <c r="K14" s="135">
        <f>J14+'S_4 lentelė'!K14</f>
        <v>470130</v>
      </c>
      <c r="L14" s="135">
        <f>K14+'S_4 lentelė'!L14</f>
        <v>470130</v>
      </c>
      <c r="M14" s="135">
        <f>L14+'S_4 lentelė'!M14</f>
        <v>492750.5</v>
      </c>
      <c r="N14" s="135">
        <f>M14+'S_4 lentelė'!N14</f>
        <v>492750.5</v>
      </c>
    </row>
    <row r="15" spans="2:15" s="112" customFormat="1" ht="26.25" x14ac:dyDescent="0.25">
      <c r="B15" s="123" t="s">
        <v>790</v>
      </c>
      <c r="C15" s="137" t="s">
        <v>932</v>
      </c>
      <c r="D15" s="123"/>
      <c r="E15" s="123">
        <f>'S_4 lentelė'!E15</f>
        <v>0</v>
      </c>
      <c r="F15" s="123">
        <f>E15+'S_4 lentelė'!F15</f>
        <v>0</v>
      </c>
      <c r="G15" s="123">
        <f>F15+'S_4 lentelė'!G15</f>
        <v>0</v>
      </c>
      <c r="H15" s="123">
        <f>G15+'S_4 lentelė'!H15</f>
        <v>0</v>
      </c>
      <c r="I15" s="123">
        <f>H15+'S_4 lentelė'!I15</f>
        <v>800</v>
      </c>
      <c r="J15" s="135">
        <f>I15+'S_4 lentelė'!J15</f>
        <v>1640</v>
      </c>
      <c r="K15" s="135">
        <f>J15+'S_4 lentelė'!K15</f>
        <v>2140</v>
      </c>
      <c r="L15" s="135">
        <f>K15+'S_4 lentelė'!L15</f>
        <v>2140</v>
      </c>
      <c r="M15" s="135">
        <f>L15+'S_4 lentelė'!M15</f>
        <v>2140</v>
      </c>
      <c r="N15" s="135">
        <f>M15+'S_4 lentelė'!N15</f>
        <v>2140</v>
      </c>
    </row>
    <row r="16" spans="2:15" s="112" customFormat="1" ht="26.25" hidden="1" x14ac:dyDescent="0.25">
      <c r="B16" s="123" t="s">
        <v>843</v>
      </c>
      <c r="C16" s="137" t="s">
        <v>844</v>
      </c>
      <c r="D16" s="123"/>
      <c r="E16" s="123">
        <f>'S_4 lentelė'!E16</f>
        <v>0</v>
      </c>
      <c r="F16" s="123">
        <f>E16+'S_4 lentelė'!F16</f>
        <v>0</v>
      </c>
      <c r="G16" s="123">
        <f>F16+'S_4 lentelė'!G16</f>
        <v>0</v>
      </c>
      <c r="H16" s="123">
        <f>G16+'S_4 lentelė'!H16</f>
        <v>0</v>
      </c>
      <c r="I16" s="123">
        <f>H16+'S_4 lentelė'!I16</f>
        <v>0</v>
      </c>
      <c r="J16" s="135">
        <f>I16+'S_4 lentelė'!J16</f>
        <v>20.25</v>
      </c>
      <c r="K16" s="135">
        <f>J16+'S_4 lentelė'!K16</f>
        <v>20.25</v>
      </c>
      <c r="L16" s="135">
        <f>K16+'S_4 lentelė'!L16</f>
        <v>20.25</v>
      </c>
      <c r="M16" s="135">
        <f>L16+'S_4 lentelė'!M16</f>
        <v>20.25</v>
      </c>
      <c r="N16" s="135">
        <f>M16+'S_4 lentelė'!N16</f>
        <v>20.25</v>
      </c>
    </row>
    <row r="17" spans="2:15" s="112" customFormat="1" ht="39" hidden="1" x14ac:dyDescent="0.25">
      <c r="B17" s="123" t="s">
        <v>829</v>
      </c>
      <c r="C17" s="137" t="s">
        <v>839</v>
      </c>
      <c r="D17" s="123"/>
      <c r="E17" s="123">
        <f>'S_4 lentelė'!E17</f>
        <v>0</v>
      </c>
      <c r="F17" s="123">
        <f>E17+'S_4 lentelė'!F17</f>
        <v>0</v>
      </c>
      <c r="G17" s="123">
        <f>F17+'S_4 lentelė'!G17</f>
        <v>0</v>
      </c>
      <c r="H17" s="135">
        <f>G17+'S_4 lentelė'!H17</f>
        <v>0</v>
      </c>
      <c r="I17" s="135">
        <f>H17+'S_4 lentelė'!I17</f>
        <v>0</v>
      </c>
      <c r="J17" s="135">
        <f>I17+'S_4 lentelė'!J17</f>
        <v>1014</v>
      </c>
      <c r="K17" s="135">
        <f>J17+'S_4 lentelė'!K17</f>
        <v>1472</v>
      </c>
      <c r="L17" s="135">
        <f>K17+'S_4 lentelė'!L17</f>
        <v>1472</v>
      </c>
      <c r="M17" s="135">
        <f>L17+'S_4 lentelė'!M17</f>
        <v>1518</v>
      </c>
      <c r="N17" s="135">
        <f>M17+'S_4 lentelė'!N17</f>
        <v>1518</v>
      </c>
    </row>
    <row r="18" spans="2:15" s="112" customFormat="1" ht="51.75" hidden="1" x14ac:dyDescent="0.25">
      <c r="B18" s="123" t="s">
        <v>831</v>
      </c>
      <c r="C18" s="137" t="s">
        <v>933</v>
      </c>
      <c r="D18" s="123"/>
      <c r="E18" s="123">
        <f>'S_4 lentelė'!E18</f>
        <v>0</v>
      </c>
      <c r="F18" s="123">
        <f>E18+'S_4 lentelė'!F18</f>
        <v>0</v>
      </c>
      <c r="G18" s="123">
        <f>F18+'S_4 lentelė'!G18</f>
        <v>0</v>
      </c>
      <c r="H18" s="135">
        <f>G18+'S_4 lentelė'!H18</f>
        <v>0</v>
      </c>
      <c r="I18" s="135">
        <f>H18+'S_4 lentelė'!I18</f>
        <v>0</v>
      </c>
      <c r="J18" s="135">
        <f>I18+'S_4 lentelė'!J18</f>
        <v>1032</v>
      </c>
      <c r="K18" s="135">
        <f>J18+'S_4 lentelė'!K18</f>
        <v>1202</v>
      </c>
      <c r="L18" s="135">
        <f>K18+'S_4 lentelė'!L18</f>
        <v>1202</v>
      </c>
      <c r="M18" s="135">
        <f>L18+'S_4 lentelė'!M18</f>
        <v>1202</v>
      </c>
      <c r="N18" s="135">
        <f>M18+'S_4 lentelė'!N18</f>
        <v>1202</v>
      </c>
    </row>
    <row r="19" spans="2:15" s="112" customFormat="1" ht="39" hidden="1" x14ac:dyDescent="0.25">
      <c r="B19" s="123" t="s">
        <v>833</v>
      </c>
      <c r="C19" s="137" t="s">
        <v>934</v>
      </c>
      <c r="D19" s="123"/>
      <c r="E19" s="123">
        <f>'S_4 lentelė'!E19</f>
        <v>0</v>
      </c>
      <c r="F19" s="123">
        <f>E19+'S_4 lentelė'!F19</f>
        <v>0</v>
      </c>
      <c r="G19" s="123">
        <f>F19+'S_4 lentelė'!G19</f>
        <v>0</v>
      </c>
      <c r="H19" s="135">
        <f>G19+'S_4 lentelė'!H19</f>
        <v>0</v>
      </c>
      <c r="I19" s="135">
        <f>H19+'S_4 lentelė'!I19</f>
        <v>0</v>
      </c>
      <c r="J19" s="135">
        <f>I19+'S_4 lentelė'!J19</f>
        <v>1502</v>
      </c>
      <c r="K19" s="135">
        <f>J19+'S_4 lentelė'!K19</f>
        <v>1960</v>
      </c>
      <c r="L19" s="135">
        <f>K19+'S_4 lentelė'!L19</f>
        <v>1960</v>
      </c>
      <c r="M19" s="135">
        <f>L19+'S_4 lentelė'!M19</f>
        <v>2059</v>
      </c>
      <c r="N19" s="135">
        <f>M19+'S_4 lentelė'!N19</f>
        <v>2059</v>
      </c>
    </row>
    <row r="20" spans="2:15" s="112" customFormat="1" ht="39" x14ac:dyDescent="0.25">
      <c r="B20" s="123" t="s">
        <v>835</v>
      </c>
      <c r="C20" s="137" t="s">
        <v>838</v>
      </c>
      <c r="D20" s="123"/>
      <c r="E20" s="123">
        <f>'S_4 lentelė'!E20</f>
        <v>0</v>
      </c>
      <c r="F20" s="123">
        <f>E20+'S_4 lentelė'!F20</f>
        <v>0</v>
      </c>
      <c r="G20" s="123">
        <f>F20+'S_4 lentelė'!G20</f>
        <v>0</v>
      </c>
      <c r="H20" s="135">
        <f>G20+'S_4 lentelė'!H20</f>
        <v>0</v>
      </c>
      <c r="I20" s="135">
        <f>H20+'S_4 lentelė'!I20</f>
        <v>0</v>
      </c>
      <c r="J20" s="135">
        <f>I20+'S_4 lentelė'!J20</f>
        <v>613</v>
      </c>
      <c r="K20" s="135">
        <f>J20+'S_4 lentelė'!K20</f>
        <v>783</v>
      </c>
      <c r="L20" s="135">
        <f>K20+'S_4 lentelė'!L20</f>
        <v>849</v>
      </c>
      <c r="M20" s="135">
        <f>L20+'S_4 lentelė'!M20</f>
        <v>849</v>
      </c>
      <c r="N20" s="135">
        <f>M20+'S_4 lentelė'!N20</f>
        <v>849</v>
      </c>
    </row>
    <row r="21" spans="2:15" s="112" customFormat="1" ht="51.75" hidden="1" x14ac:dyDescent="0.25">
      <c r="B21" s="123" t="s">
        <v>851</v>
      </c>
      <c r="C21" s="137" t="s">
        <v>935</v>
      </c>
      <c r="D21" s="123"/>
      <c r="E21" s="123">
        <f>'S_4 lentelė'!E21</f>
        <v>0</v>
      </c>
      <c r="F21" s="123">
        <f>E21+'S_4 lentelė'!F21</f>
        <v>0</v>
      </c>
      <c r="G21" s="123">
        <f>F21+'S_4 lentelė'!G21</f>
        <v>0</v>
      </c>
      <c r="H21" s="135">
        <f>G21+'S_4 lentelė'!H21</f>
        <v>0</v>
      </c>
      <c r="I21" s="135">
        <f>H21+'S_4 lentelė'!I21</f>
        <v>0</v>
      </c>
      <c r="J21" s="135">
        <f>I21+'S_4 lentelė'!J21</f>
        <v>0</v>
      </c>
      <c r="K21" s="135">
        <f>J21+'S_4 lentelė'!K21</f>
        <v>2</v>
      </c>
      <c r="L21" s="135">
        <f>K21+'S_4 lentelė'!L21</f>
        <v>5</v>
      </c>
      <c r="M21" s="135">
        <f>L21+'S_4 lentelė'!M21</f>
        <v>5</v>
      </c>
      <c r="N21" s="135">
        <f>M21+'S_4 lentelė'!N21</f>
        <v>5</v>
      </c>
    </row>
    <row r="22" spans="2:15" s="112" customFormat="1" ht="26.25" x14ac:dyDescent="0.25">
      <c r="B22" s="123" t="s">
        <v>853</v>
      </c>
      <c r="C22" s="136" t="s">
        <v>854</v>
      </c>
      <c r="D22" s="135"/>
      <c r="E22" s="135">
        <f>'S_4 lentelė'!E22</f>
        <v>0</v>
      </c>
      <c r="F22" s="135">
        <f>E22+'S_4 lentelė'!F22</f>
        <v>0</v>
      </c>
      <c r="G22" s="135">
        <f>F22+'S_4 lentelė'!G22</f>
        <v>0</v>
      </c>
      <c r="H22" s="135">
        <f>G22+'S_4 lentelė'!H22</f>
        <v>0</v>
      </c>
      <c r="I22" s="135">
        <f>H22+'S_4 lentelė'!I22</f>
        <v>68</v>
      </c>
      <c r="J22" s="135">
        <f>I22+'S_4 lentelė'!J22</f>
        <v>97</v>
      </c>
      <c r="K22" s="135">
        <f>J22+'S_4 lentelė'!K22</f>
        <v>141</v>
      </c>
      <c r="L22" s="135">
        <f>K22+'S_4 lentelė'!L22</f>
        <v>170</v>
      </c>
      <c r="M22" s="135">
        <f>L22+'S_4 lentelė'!M22</f>
        <v>170</v>
      </c>
      <c r="N22" s="135">
        <f>M22+'S_4 lentelė'!N22</f>
        <v>170</v>
      </c>
    </row>
    <row r="23" spans="2:15" ht="26.25" hidden="1" x14ac:dyDescent="0.25">
      <c r="B23" s="34" t="s">
        <v>892</v>
      </c>
      <c r="C23" s="62" t="s">
        <v>936</v>
      </c>
      <c r="D23" s="34"/>
      <c r="E23" s="34">
        <f>'S_4 lentelė'!E23</f>
        <v>0</v>
      </c>
      <c r="F23" s="34">
        <f>E23+'S_4 lentelė'!F23</f>
        <v>0</v>
      </c>
      <c r="G23" s="34">
        <f>F23+'S_4 lentelė'!G23</f>
        <v>0</v>
      </c>
      <c r="H23" s="64">
        <f>G23+'S_4 lentelė'!H23</f>
        <v>0</v>
      </c>
      <c r="I23" s="64">
        <f>H23+'S_4 lentelė'!I23</f>
        <v>5</v>
      </c>
      <c r="J23" s="64">
        <f>I23+'S_4 lentelė'!J23</f>
        <v>6</v>
      </c>
      <c r="K23" s="64">
        <f>J23+'S_4 lentelė'!K23</f>
        <v>6</v>
      </c>
      <c r="L23" s="64">
        <f>K23+'S_4 lentelė'!L23</f>
        <v>6</v>
      </c>
      <c r="M23" s="64">
        <f>L23+'S_4 lentelė'!M23</f>
        <v>6</v>
      </c>
      <c r="N23" s="64">
        <f>M23+'S_4 lentelė'!N23</f>
        <v>6</v>
      </c>
      <c r="O23" s="112"/>
    </row>
    <row r="24" spans="2:15" ht="39" hidden="1" x14ac:dyDescent="0.25">
      <c r="B24" s="34" t="s">
        <v>886</v>
      </c>
      <c r="C24" s="62" t="s">
        <v>887</v>
      </c>
      <c r="D24" s="34"/>
      <c r="E24" s="34">
        <f>'S_4 lentelė'!E24</f>
        <v>0</v>
      </c>
      <c r="F24" s="34">
        <f>E24+'S_4 lentelė'!F24</f>
        <v>0</v>
      </c>
      <c r="G24" s="34">
        <f>F24+'S_4 lentelė'!G24</f>
        <v>0</v>
      </c>
      <c r="H24" s="64">
        <f>G24+'S_4 lentelė'!H24</f>
        <v>0</v>
      </c>
      <c r="I24" s="64">
        <f>H24+'S_4 lentelė'!I24</f>
        <v>61</v>
      </c>
      <c r="J24" s="64">
        <f>I24+'S_4 lentelė'!J24</f>
        <v>116</v>
      </c>
      <c r="K24" s="64">
        <f>J24+'S_4 lentelė'!K24</f>
        <v>136</v>
      </c>
      <c r="L24" s="64">
        <f>K24+'S_4 lentelė'!L24</f>
        <v>136</v>
      </c>
      <c r="M24" s="64">
        <f>L24+'S_4 lentelė'!M24</f>
        <v>136</v>
      </c>
      <c r="N24" s="64">
        <f>M24+'S_4 lentelė'!N24</f>
        <v>136</v>
      </c>
      <c r="O24" s="112"/>
    </row>
    <row r="25" spans="2:15" hidden="1" x14ac:dyDescent="0.25">
      <c r="B25" s="34" t="s">
        <v>815</v>
      </c>
      <c r="C25" s="62" t="s">
        <v>937</v>
      </c>
      <c r="D25" s="34"/>
      <c r="E25" s="34">
        <f>'S_4 lentelė'!E25</f>
        <v>0</v>
      </c>
      <c r="F25" s="34">
        <f>E25+'S_4 lentelė'!F25</f>
        <v>0</v>
      </c>
      <c r="G25" s="34">
        <f>F25+'S_4 lentelė'!G25</f>
        <v>2</v>
      </c>
      <c r="H25" s="64">
        <f>G25+'S_4 lentelė'!H25</f>
        <v>3</v>
      </c>
      <c r="I25" s="64">
        <f>H25+'S_4 lentelė'!I25</f>
        <v>3</v>
      </c>
      <c r="J25" s="64">
        <f>I25+'S_4 lentelė'!J25</f>
        <v>3</v>
      </c>
      <c r="K25" s="64">
        <f>J25+'S_4 lentelė'!K25</f>
        <v>3</v>
      </c>
      <c r="L25" s="64">
        <f>K25+'S_4 lentelė'!L25</f>
        <v>3</v>
      </c>
      <c r="M25" s="64">
        <f>L25+'S_4 lentelė'!M25</f>
        <v>3</v>
      </c>
      <c r="N25" s="64">
        <f>M25+'S_4 lentelė'!N25</f>
        <v>3</v>
      </c>
      <c r="O25" s="112"/>
    </row>
    <row r="26" spans="2:15" hidden="1" x14ac:dyDescent="0.25">
      <c r="B26" s="34" t="s">
        <v>799</v>
      </c>
      <c r="C26" s="62" t="s">
        <v>938</v>
      </c>
      <c r="D26" s="34"/>
      <c r="E26" s="34">
        <f>'S_4 lentelė'!E26</f>
        <v>0</v>
      </c>
      <c r="F26" s="34">
        <f>E26+'S_4 lentelė'!F26</f>
        <v>0</v>
      </c>
      <c r="G26" s="34">
        <f>F26+'S_4 lentelė'!G26</f>
        <v>0</v>
      </c>
      <c r="H26" s="64">
        <f>G26+'S_4 lentelė'!H26</f>
        <v>0</v>
      </c>
      <c r="I26" s="64">
        <f>H26+'S_4 lentelė'!I26</f>
        <v>0</v>
      </c>
      <c r="J26" s="64">
        <f>I26+'S_4 lentelė'!J26</f>
        <v>0.58599999999999997</v>
      </c>
      <c r="K26" s="64">
        <f>J26+'S_4 lentelė'!K26</f>
        <v>0.58599999999999997</v>
      </c>
      <c r="L26" s="64">
        <f>K26+'S_4 lentelė'!L26</f>
        <v>0.58599999999999997</v>
      </c>
      <c r="M26" s="64">
        <f>L26+'S_4 lentelė'!M26</f>
        <v>0.58599999999999997</v>
      </c>
      <c r="N26" s="64">
        <f>M26+'S_4 lentelė'!N26</f>
        <v>0.58599999999999997</v>
      </c>
      <c r="O26" s="112"/>
    </row>
    <row r="27" spans="2:15" ht="26.25" hidden="1" x14ac:dyDescent="0.25">
      <c r="B27" s="34" t="s">
        <v>877</v>
      </c>
      <c r="C27" s="62" t="s">
        <v>878</v>
      </c>
      <c r="D27" s="34"/>
      <c r="E27" s="34">
        <f>'S_4 lentelė'!E27</f>
        <v>0</v>
      </c>
      <c r="F27" s="34">
        <f>E27+'S_4 lentelė'!F27</f>
        <v>0</v>
      </c>
      <c r="G27" s="34">
        <f>F27+'S_4 lentelė'!G27</f>
        <v>0</v>
      </c>
      <c r="H27" s="64">
        <f>G27+'S_4 lentelė'!H27</f>
        <v>0</v>
      </c>
      <c r="I27" s="64">
        <f>H27+'S_4 lentelė'!I27</f>
        <v>0</v>
      </c>
      <c r="J27" s="64">
        <f>I27+'S_4 lentelė'!J27</f>
        <v>0</v>
      </c>
      <c r="K27" s="64">
        <f>J27+'S_4 lentelė'!K27</f>
        <v>1</v>
      </c>
      <c r="L27" s="64">
        <f>K27+'S_4 lentelė'!L27</f>
        <v>1</v>
      </c>
      <c r="M27" s="64">
        <f>L27+'S_4 lentelė'!M27</f>
        <v>1</v>
      </c>
      <c r="N27" s="64">
        <f>M27+'S_4 lentelė'!N27</f>
        <v>1</v>
      </c>
      <c r="O27" s="112"/>
    </row>
    <row r="28" spans="2:15" ht="39" hidden="1" x14ac:dyDescent="0.25">
      <c r="B28" s="34" t="s">
        <v>863</v>
      </c>
      <c r="C28" s="62" t="s">
        <v>939</v>
      </c>
      <c r="D28" s="34"/>
      <c r="E28" s="34">
        <f>'S_4 lentelė'!E28</f>
        <v>0</v>
      </c>
      <c r="F28" s="34">
        <f>E28+'S_4 lentelė'!F28</f>
        <v>0</v>
      </c>
      <c r="G28" s="34">
        <f>F28+'S_4 lentelė'!G28</f>
        <v>0</v>
      </c>
      <c r="H28" s="64">
        <f>G28+'S_4 lentelė'!H28</f>
        <v>0</v>
      </c>
      <c r="I28" s="64">
        <f>H28+'S_4 lentelė'!I28</f>
        <v>0</v>
      </c>
      <c r="J28" s="64">
        <f>I28+'S_4 lentelė'!J28</f>
        <v>1</v>
      </c>
      <c r="K28" s="64">
        <f>J28+'S_4 lentelė'!K28</f>
        <v>2</v>
      </c>
      <c r="L28" s="64">
        <f>K28+'S_4 lentelė'!L28</f>
        <v>2</v>
      </c>
      <c r="M28" s="64">
        <f>L28+'S_4 lentelė'!M28</f>
        <v>2</v>
      </c>
      <c r="N28" s="64">
        <f>M28+'S_4 lentelė'!N28</f>
        <v>2</v>
      </c>
      <c r="O28" s="112"/>
    </row>
    <row r="29" spans="2:15" ht="26.25" hidden="1" x14ac:dyDescent="0.25">
      <c r="B29" s="34" t="s">
        <v>869</v>
      </c>
      <c r="C29" s="62" t="s">
        <v>940</v>
      </c>
      <c r="D29" s="34"/>
      <c r="E29" s="34">
        <f>'S_4 lentelė'!E29</f>
        <v>0</v>
      </c>
      <c r="F29" s="34">
        <f>E29+'S_4 lentelė'!F29</f>
        <v>0</v>
      </c>
      <c r="G29" s="34">
        <f>F29+'S_4 lentelė'!G29</f>
        <v>0</v>
      </c>
      <c r="H29" s="64">
        <f>G29+'S_4 lentelė'!H29</f>
        <v>0</v>
      </c>
      <c r="I29" s="64">
        <f>H29+'S_4 lentelė'!I29</f>
        <v>0</v>
      </c>
      <c r="J29" s="64">
        <f>I29+'S_4 lentelė'!J29</f>
        <v>1</v>
      </c>
      <c r="K29" s="64">
        <f>J29+'S_4 lentelė'!K29</f>
        <v>3</v>
      </c>
      <c r="L29" s="64">
        <f>K29+'S_4 lentelė'!L29</f>
        <v>3</v>
      </c>
      <c r="M29" s="64">
        <f>L29+'S_4 lentelė'!M29</f>
        <v>3</v>
      </c>
      <c r="N29" s="64">
        <f>M29+'S_4 lentelė'!N29</f>
        <v>3</v>
      </c>
      <c r="O29" s="112"/>
    </row>
    <row r="30" spans="2:15" ht="26.25" hidden="1" x14ac:dyDescent="0.25">
      <c r="B30" s="34" t="s">
        <v>871</v>
      </c>
      <c r="C30" s="62" t="s">
        <v>872</v>
      </c>
      <c r="D30" s="34"/>
      <c r="E30" s="34">
        <f>'S_4 lentelė'!E30</f>
        <v>0</v>
      </c>
      <c r="F30" s="34">
        <f>E30+'S_4 lentelė'!F30</f>
        <v>0</v>
      </c>
      <c r="G30" s="34">
        <f>F30+'S_4 lentelė'!G30</f>
        <v>0</v>
      </c>
      <c r="H30" s="64">
        <f>G30+'S_4 lentelė'!H30</f>
        <v>0</v>
      </c>
      <c r="I30" s="64">
        <f>H30+'S_4 lentelė'!I30</f>
        <v>0</v>
      </c>
      <c r="J30" s="64">
        <f>I30+'S_4 lentelė'!J30</f>
        <v>1</v>
      </c>
      <c r="K30" s="64">
        <f>J30+'S_4 lentelė'!K30</f>
        <v>2</v>
      </c>
      <c r="L30" s="64">
        <f>K30+'S_4 lentelė'!L30</f>
        <v>2</v>
      </c>
      <c r="M30" s="64">
        <f>L30+'S_4 lentelė'!M30</f>
        <v>2</v>
      </c>
      <c r="N30" s="64">
        <f>M30+'S_4 lentelė'!N30</f>
        <v>2</v>
      </c>
      <c r="O30" s="112"/>
    </row>
    <row r="31" spans="2:15" hidden="1" x14ac:dyDescent="0.25">
      <c r="B31" s="34" t="s">
        <v>825</v>
      </c>
      <c r="C31" s="62" t="s">
        <v>826</v>
      </c>
      <c r="D31" s="34"/>
      <c r="E31" s="34">
        <f>'S_4 lentelė'!E31</f>
        <v>0</v>
      </c>
      <c r="F31" s="34">
        <f>E31+'S_4 lentelė'!F31</f>
        <v>0</v>
      </c>
      <c r="G31" s="34">
        <f>F31+'S_4 lentelė'!G31</f>
        <v>0</v>
      </c>
      <c r="H31" s="64">
        <f>G31+'S_4 lentelė'!H31</f>
        <v>0</v>
      </c>
      <c r="I31" s="64">
        <f>H31+'S_4 lentelė'!I31</f>
        <v>86</v>
      </c>
      <c r="J31" s="64">
        <f>I31+'S_4 lentelė'!J31</f>
        <v>86</v>
      </c>
      <c r="K31" s="64">
        <f>J31+'S_4 lentelė'!K31</f>
        <v>86</v>
      </c>
      <c r="L31" s="64">
        <f>K31+'S_4 lentelė'!L31</f>
        <v>86</v>
      </c>
      <c r="M31" s="64">
        <f>L31+'S_4 lentelė'!M31</f>
        <v>86</v>
      </c>
      <c r="N31" s="64">
        <f>M31+'S_4 lentelė'!N31</f>
        <v>86</v>
      </c>
      <c r="O31" s="112"/>
    </row>
    <row r="32" spans="2:15" hidden="1" x14ac:dyDescent="0.25">
      <c r="B32" s="34" t="s">
        <v>941</v>
      </c>
      <c r="C32" s="62" t="s">
        <v>899</v>
      </c>
      <c r="D32" s="34"/>
      <c r="E32" s="34">
        <f>'S_4 lentelė'!E32</f>
        <v>0</v>
      </c>
      <c r="F32" s="34">
        <f>E32+'S_4 lentelė'!F32</f>
        <v>0</v>
      </c>
      <c r="G32" s="34">
        <f>F32+'S_4 lentelė'!G32</f>
        <v>0</v>
      </c>
      <c r="H32" s="64">
        <f>G32+'S_4 lentelė'!H32</f>
        <v>0</v>
      </c>
      <c r="I32" s="64">
        <f>H32+'S_4 lentelė'!I32</f>
        <v>0</v>
      </c>
      <c r="J32" s="64">
        <f>I32+'S_4 lentelė'!J32</f>
        <v>4</v>
      </c>
      <c r="K32" s="64">
        <f>J32+'S_4 lentelė'!K32</f>
        <v>5</v>
      </c>
      <c r="L32" s="64">
        <f>K32+'S_4 lentelė'!L32</f>
        <v>5</v>
      </c>
      <c r="M32" s="64">
        <f>L32+'S_4 lentelė'!M32</f>
        <v>5</v>
      </c>
      <c r="N32" s="64">
        <f>M32+'S_4 lentelė'!N32</f>
        <v>5</v>
      </c>
      <c r="O32" s="112"/>
    </row>
    <row r="33" spans="2:15" ht="51.75" hidden="1" x14ac:dyDescent="0.25">
      <c r="B33" s="34" t="s">
        <v>942</v>
      </c>
      <c r="C33" s="62" t="s">
        <v>943</v>
      </c>
      <c r="D33" s="34"/>
      <c r="E33" s="34">
        <f>'S_4 lentelė'!E33</f>
        <v>0</v>
      </c>
      <c r="F33" s="34">
        <f>E33+'S_4 lentelė'!F33</f>
        <v>0</v>
      </c>
      <c r="G33" s="34">
        <f>F33+'S_4 lentelė'!G33</f>
        <v>0</v>
      </c>
      <c r="H33" s="64">
        <f>G33+'S_4 lentelė'!H33</f>
        <v>0</v>
      </c>
      <c r="I33" s="64">
        <f>H33+'S_4 lentelė'!I33</f>
        <v>0</v>
      </c>
      <c r="J33" s="64">
        <f>I33+'S_4 lentelė'!J33</f>
        <v>0</v>
      </c>
      <c r="K33" s="64">
        <f>J33+'S_4 lentelė'!K33</f>
        <v>0</v>
      </c>
      <c r="L33" s="64">
        <f>K33+'S_4 lentelė'!L33</f>
        <v>0</v>
      </c>
      <c r="M33" s="64">
        <f>L33+'S_4 lentelė'!M33</f>
        <v>0</v>
      </c>
      <c r="N33" s="64">
        <f>M33+'S_4 lentelė'!N33</f>
        <v>0</v>
      </c>
      <c r="O33" s="112"/>
    </row>
    <row r="34" spans="2:15" ht="26.25" hidden="1" x14ac:dyDescent="0.25">
      <c r="B34" s="34" t="s">
        <v>807</v>
      </c>
      <c r="C34" s="62" t="s">
        <v>808</v>
      </c>
      <c r="D34" s="34"/>
      <c r="E34" s="34">
        <f>'S_4 lentelė'!E34</f>
        <v>0</v>
      </c>
      <c r="F34" s="34">
        <f>E34+'S_4 lentelė'!F34</f>
        <v>0</v>
      </c>
      <c r="G34" s="34">
        <f>F34+'S_4 lentelė'!G34</f>
        <v>0</v>
      </c>
      <c r="H34" s="64">
        <f>G34+'S_4 lentelė'!H34</f>
        <v>0</v>
      </c>
      <c r="I34" s="64">
        <f>H34+'S_4 lentelė'!I34</f>
        <v>0</v>
      </c>
      <c r="J34" s="64">
        <f>I34+'S_4 lentelė'!J34</f>
        <v>0.5</v>
      </c>
      <c r="K34" s="64">
        <f>J34+'S_4 lentelė'!K34</f>
        <v>1.56</v>
      </c>
      <c r="L34" s="64">
        <f>K34+'S_4 lentelė'!L34</f>
        <v>1.56</v>
      </c>
      <c r="M34" s="64">
        <f>L34+'S_4 lentelė'!M34</f>
        <v>1.56</v>
      </c>
      <c r="N34" s="64">
        <f>M34+'S_4 lentelė'!N34</f>
        <v>1.56</v>
      </c>
      <c r="O34" s="112"/>
    </row>
    <row r="35" spans="2:15" ht="26.25" hidden="1" x14ac:dyDescent="0.25">
      <c r="B35" s="34" t="s">
        <v>944</v>
      </c>
      <c r="C35" s="62" t="s">
        <v>811</v>
      </c>
      <c r="D35" s="34"/>
      <c r="E35" s="34">
        <f>'S_4 lentelė'!E35</f>
        <v>0</v>
      </c>
      <c r="F35" s="34">
        <f>E35+'S_4 lentelė'!F35</f>
        <v>0</v>
      </c>
      <c r="G35" s="34">
        <f>F35+'S_4 lentelė'!G35</f>
        <v>0</v>
      </c>
      <c r="H35" s="64">
        <f>G35+'S_4 lentelė'!H35</f>
        <v>0</v>
      </c>
      <c r="I35" s="64">
        <f>H35+'S_4 lentelė'!I35</f>
        <v>0</v>
      </c>
      <c r="J35" s="64">
        <f>I35+'S_4 lentelė'!J35</f>
        <v>0.8</v>
      </c>
      <c r="K35" s="64">
        <f>J35+'S_4 lentelė'!K35</f>
        <v>1.6</v>
      </c>
      <c r="L35" s="64">
        <f>K35+'S_4 lentelė'!L35</f>
        <v>1.6</v>
      </c>
      <c r="M35" s="64">
        <f>L35+'S_4 lentelė'!M35</f>
        <v>1.6</v>
      </c>
      <c r="N35" s="64">
        <f>M35+'S_4 lentelė'!N35</f>
        <v>1.6</v>
      </c>
      <c r="O35" s="112"/>
    </row>
    <row r="36" spans="2:15" hidden="1" x14ac:dyDescent="0.25">
      <c r="B36" s="34" t="s">
        <v>945</v>
      </c>
      <c r="C36" s="62" t="s">
        <v>946</v>
      </c>
      <c r="D36" s="34"/>
      <c r="E36" s="34">
        <f>'S_4 lentelė'!E36</f>
        <v>0</v>
      </c>
      <c r="F36" s="34">
        <f>E36+'S_4 lentelė'!F36</f>
        <v>0</v>
      </c>
      <c r="G36" s="34">
        <f>F36+'S_4 lentelė'!G36</f>
        <v>0</v>
      </c>
      <c r="H36" s="64">
        <f>G36+'S_4 lentelė'!H36</f>
        <v>1</v>
      </c>
      <c r="I36" s="64">
        <f>H36+'S_4 lentelė'!I36</f>
        <v>2</v>
      </c>
      <c r="J36" s="64">
        <f>I36+'S_4 lentelė'!J36</f>
        <v>3</v>
      </c>
      <c r="K36" s="64">
        <f>J36+'S_4 lentelė'!K36</f>
        <v>3</v>
      </c>
      <c r="L36" s="64">
        <f>K36+'S_4 lentelė'!L36</f>
        <v>3</v>
      </c>
      <c r="M36" s="64">
        <f>L36+'S_4 lentelė'!M36</f>
        <v>3</v>
      </c>
      <c r="N36" s="64">
        <f>M36+'S_4 lentelė'!N36</f>
        <v>3</v>
      </c>
      <c r="O36" s="112"/>
    </row>
    <row r="37" spans="2:15" ht="26.25" hidden="1" x14ac:dyDescent="0.25">
      <c r="B37" s="64" t="s">
        <v>817</v>
      </c>
      <c r="C37" s="91" t="s">
        <v>947</v>
      </c>
      <c r="D37" s="64"/>
      <c r="E37" s="64">
        <f>'S_4 lentelė'!E37</f>
        <v>0</v>
      </c>
      <c r="F37" s="64">
        <f>E37+'S_4 lentelė'!F37</f>
        <v>0</v>
      </c>
      <c r="G37" s="64">
        <f>F37+'S_4 lentelė'!G37</f>
        <v>0</v>
      </c>
      <c r="H37" s="64">
        <f>G37+'S_4 lentelė'!H37</f>
        <v>0</v>
      </c>
      <c r="I37" s="64">
        <f>H37+'S_4 lentelė'!I37</f>
        <v>0</v>
      </c>
      <c r="J37" s="64">
        <f>I37+'S_4 lentelė'!J37</f>
        <v>4</v>
      </c>
      <c r="K37" s="64">
        <f>J37+'S_4 lentelė'!K37</f>
        <v>4</v>
      </c>
      <c r="L37" s="64">
        <f>K37+'S_4 lentelė'!L37</f>
        <v>4</v>
      </c>
      <c r="M37" s="64">
        <f>L37+'S_4 lentelė'!M37</f>
        <v>4</v>
      </c>
      <c r="N37" s="64">
        <f>M37+'S_4 lentelė'!N37</f>
        <v>4</v>
      </c>
      <c r="O37" s="112"/>
    </row>
    <row r="38" spans="2:15" ht="39" hidden="1" x14ac:dyDescent="0.25">
      <c r="B38" s="34" t="s">
        <v>841</v>
      </c>
      <c r="C38" s="62" t="s">
        <v>842</v>
      </c>
      <c r="D38" s="34"/>
      <c r="E38" s="34">
        <f>'S_4 lentelė'!E38</f>
        <v>0</v>
      </c>
      <c r="F38" s="34">
        <f>E38+'S_4 lentelė'!F38</f>
        <v>0</v>
      </c>
      <c r="G38" s="34">
        <f>F38+'S_4 lentelė'!G38</f>
        <v>0</v>
      </c>
      <c r="H38" s="64">
        <f>G38+'S_4 lentelė'!H38</f>
        <v>0</v>
      </c>
      <c r="I38" s="64">
        <f>H38+'S_4 lentelė'!I38</f>
        <v>71.92</v>
      </c>
      <c r="J38" s="64">
        <f>I38+'S_4 lentelė'!J38</f>
        <v>124.5</v>
      </c>
      <c r="K38" s="64">
        <f>J38+'S_4 lentelė'!K38</f>
        <v>124.5</v>
      </c>
      <c r="L38" s="64">
        <f>K38+'S_4 lentelė'!L38</f>
        <v>124.5</v>
      </c>
      <c r="M38" s="64">
        <f>L38+'S_4 lentelė'!M38</f>
        <v>124.5</v>
      </c>
      <c r="N38" s="64">
        <f>M38+'S_4 lentelė'!N38</f>
        <v>124.5</v>
      </c>
      <c r="O38" s="112"/>
    </row>
    <row r="39" spans="2:15" ht="26.25" hidden="1" x14ac:dyDescent="0.25">
      <c r="B39" s="34" t="s">
        <v>846</v>
      </c>
      <c r="C39" s="62" t="s">
        <v>850</v>
      </c>
      <c r="D39" s="34"/>
      <c r="E39" s="34">
        <f>'S_4 lentelė'!E39</f>
        <v>0</v>
      </c>
      <c r="F39" s="34">
        <f>E39+'S_4 lentelė'!F39</f>
        <v>0</v>
      </c>
      <c r="G39" s="34">
        <f>F39+'S_4 lentelė'!G39</f>
        <v>0</v>
      </c>
      <c r="H39" s="64">
        <f>G39+'S_4 lentelė'!H39</f>
        <v>0</v>
      </c>
      <c r="I39" s="64">
        <f>H39+'S_4 lentelė'!I39</f>
        <v>6069</v>
      </c>
      <c r="J39" s="64">
        <f>I39+'S_4 lentelė'!J39</f>
        <v>6069</v>
      </c>
      <c r="K39" s="64">
        <f>J39+'S_4 lentelė'!K39</f>
        <v>6069</v>
      </c>
      <c r="L39" s="64">
        <f>K39+'S_4 lentelė'!L39</f>
        <v>6069</v>
      </c>
      <c r="M39" s="64">
        <f>L39+'S_4 lentelė'!M39</f>
        <v>6069</v>
      </c>
      <c r="N39" s="64">
        <f>M39+'S_4 lentelė'!N39</f>
        <v>6069</v>
      </c>
      <c r="O39" s="112"/>
    </row>
    <row r="40" spans="2:15" ht="26.25" hidden="1" x14ac:dyDescent="0.25">
      <c r="B40" s="34" t="s">
        <v>827</v>
      </c>
      <c r="C40" s="62" t="s">
        <v>828</v>
      </c>
      <c r="D40" s="34"/>
      <c r="E40" s="34">
        <f>'S_4 lentelė'!E40</f>
        <v>0</v>
      </c>
      <c r="F40" s="34">
        <f>E40+'S_4 lentelė'!F40</f>
        <v>0</v>
      </c>
      <c r="G40" s="34">
        <f>F40+'S_4 lentelė'!G40</f>
        <v>0</v>
      </c>
      <c r="H40" s="64">
        <f>G40+'S_4 lentelė'!H40</f>
        <v>0</v>
      </c>
      <c r="I40" s="64">
        <f>H40+'S_4 lentelė'!I40</f>
        <v>19.600000000000001</v>
      </c>
      <c r="J40" s="64">
        <f>I40+'S_4 lentelė'!J40</f>
        <v>27.64</v>
      </c>
      <c r="K40" s="64">
        <f>J40+'S_4 lentelė'!K40</f>
        <v>28.57</v>
      </c>
      <c r="L40" s="64">
        <f>K40+'S_4 lentelė'!L40</f>
        <v>28.57</v>
      </c>
      <c r="M40" s="64">
        <f>L40+'S_4 lentelė'!M40</f>
        <v>28.57</v>
      </c>
      <c r="N40" s="64">
        <f>M40+'S_4 lentelė'!N40</f>
        <v>28.57</v>
      </c>
      <c r="O40" s="112"/>
    </row>
    <row r="41" spans="2:15" ht="39" hidden="1" x14ac:dyDescent="0.25">
      <c r="B41" s="34" t="s">
        <v>819</v>
      </c>
      <c r="C41" s="62" t="s">
        <v>823</v>
      </c>
      <c r="D41" s="34"/>
      <c r="E41" s="34">
        <f>'S_4 lentelė'!E41</f>
        <v>0</v>
      </c>
      <c r="F41" s="34">
        <f>E41+'S_4 lentelė'!F41</f>
        <v>0</v>
      </c>
      <c r="G41" s="34">
        <f>F41+'S_4 lentelė'!G41</f>
        <v>0</v>
      </c>
      <c r="H41" s="64">
        <f>G41+'S_4 lentelė'!H41</f>
        <v>0</v>
      </c>
      <c r="I41" s="64">
        <f>H41+'S_4 lentelė'!I41</f>
        <v>2</v>
      </c>
      <c r="J41" s="64">
        <f>I41+'S_4 lentelė'!J41</f>
        <v>4</v>
      </c>
      <c r="K41" s="64">
        <f>J41+'S_4 lentelė'!K41</f>
        <v>4</v>
      </c>
      <c r="L41" s="64">
        <f>K41+'S_4 lentelė'!L41</f>
        <v>4</v>
      </c>
      <c r="M41" s="64">
        <f>L41+'S_4 lentelė'!M41</f>
        <v>4</v>
      </c>
      <c r="N41" s="64">
        <f>M41+'S_4 lentelė'!N41</f>
        <v>4</v>
      </c>
      <c r="O41" s="112"/>
    </row>
    <row r="42" spans="2:15" ht="26.25" x14ac:dyDescent="0.25">
      <c r="B42" s="34" t="s">
        <v>857</v>
      </c>
      <c r="C42" s="62" t="s">
        <v>859</v>
      </c>
      <c r="D42" s="34"/>
      <c r="E42" s="34">
        <f>'S_4 lentelė'!E42</f>
        <v>0</v>
      </c>
      <c r="F42" s="34">
        <f>E42+'S_4 lentelė'!F42</f>
        <v>0</v>
      </c>
      <c r="G42" s="34">
        <f>F42+'S_4 lentelė'!G42</f>
        <v>0</v>
      </c>
      <c r="H42" s="64">
        <f>G42+'S_4 lentelė'!H42</f>
        <v>0</v>
      </c>
      <c r="I42" s="64">
        <f>H42+'S_4 lentelė'!I42</f>
        <v>1</v>
      </c>
      <c r="J42" s="64">
        <f>I42+'S_4 lentelė'!J42</f>
        <v>1</v>
      </c>
      <c r="K42" s="64">
        <f>J42+'S_4 lentelė'!K42</f>
        <v>5</v>
      </c>
      <c r="L42" s="64">
        <f>K42+'S_4 lentelė'!L42</f>
        <v>6</v>
      </c>
      <c r="M42" s="64">
        <f>L42+'S_4 lentelė'!M42</f>
        <v>6</v>
      </c>
      <c r="N42" s="64">
        <f>M42+'S_4 lentelė'!N42</f>
        <v>6</v>
      </c>
      <c r="O42" s="112"/>
    </row>
    <row r="43" spans="2:15" ht="26.25" hidden="1" x14ac:dyDescent="0.25">
      <c r="B43" s="34" t="s">
        <v>802</v>
      </c>
      <c r="C43" s="62" t="s">
        <v>803</v>
      </c>
      <c r="D43" s="34"/>
      <c r="E43" s="34">
        <f>'S_4 lentelė'!E43</f>
        <v>0</v>
      </c>
      <c r="F43" s="34">
        <f>E43+'S_4 lentelė'!F43</f>
        <v>0</v>
      </c>
      <c r="G43" s="34">
        <f>F43+'S_4 lentelė'!G43</f>
        <v>0</v>
      </c>
      <c r="H43" s="64">
        <f>G43+'S_4 lentelė'!H43</f>
        <v>0</v>
      </c>
      <c r="I43" s="64">
        <f>H43+'S_4 lentelė'!I43</f>
        <v>0</v>
      </c>
      <c r="J43" s="64">
        <f>I43+'S_4 lentelė'!J43</f>
        <v>4</v>
      </c>
      <c r="K43" s="64">
        <f>J43+'S_4 lentelė'!K43</f>
        <v>4</v>
      </c>
      <c r="L43" s="64">
        <f>K43+'S_4 lentelė'!L43</f>
        <v>4</v>
      </c>
      <c r="M43" s="64">
        <f>L43+'S_4 lentelė'!M43</f>
        <v>4</v>
      </c>
      <c r="N43" s="64">
        <f>M43+'S_4 lentelė'!N43</f>
        <v>4</v>
      </c>
      <c r="O43" s="112"/>
    </row>
    <row r="44" spans="2:15" ht="26.25" hidden="1" x14ac:dyDescent="0.25">
      <c r="B44" s="34" t="s">
        <v>884</v>
      </c>
      <c r="C44" s="62" t="s">
        <v>948</v>
      </c>
      <c r="D44" s="34"/>
      <c r="E44" s="34">
        <f>'S_4 lentelė'!E44</f>
        <v>0</v>
      </c>
      <c r="F44" s="34">
        <f>E44+'S_4 lentelė'!F44</f>
        <v>0</v>
      </c>
      <c r="G44" s="34">
        <f>F44+'S_4 lentelė'!G44</f>
        <v>0</v>
      </c>
      <c r="H44" s="64">
        <f>G44+'S_4 lentelė'!H44</f>
        <v>0</v>
      </c>
      <c r="I44" s="64">
        <f>H44+'S_4 lentelė'!I44</f>
        <v>2</v>
      </c>
      <c r="J44" s="64">
        <f>I44+'S_4 lentelė'!J44</f>
        <v>3</v>
      </c>
      <c r="K44" s="64">
        <f>J44+'S_4 lentelė'!K44</f>
        <v>4</v>
      </c>
      <c r="L44" s="64">
        <f>K44+'S_4 lentelė'!L44</f>
        <v>4</v>
      </c>
      <c r="M44" s="64">
        <f>L44+'S_4 lentelė'!M44</f>
        <v>4</v>
      </c>
      <c r="N44" s="64">
        <f>M44+'S_4 lentelė'!N44</f>
        <v>4</v>
      </c>
      <c r="O44" s="112"/>
    </row>
    <row r="45" spans="2:15" hidden="1" x14ac:dyDescent="0.25">
      <c r="B45" s="34" t="s">
        <v>890</v>
      </c>
      <c r="C45" s="62" t="s">
        <v>891</v>
      </c>
      <c r="D45" s="34"/>
      <c r="E45" s="34">
        <f>'S_4 lentelė'!E45</f>
        <v>0</v>
      </c>
      <c r="F45" s="34">
        <f>E45+'S_4 lentelė'!F45</f>
        <v>0</v>
      </c>
      <c r="G45" s="34">
        <f>F45+'S_4 lentelė'!G45</f>
        <v>0</v>
      </c>
      <c r="H45" s="64">
        <f>G45+'S_4 lentelė'!H45</f>
        <v>0</v>
      </c>
      <c r="I45" s="64">
        <f>H45+'S_4 lentelė'!I45</f>
        <v>20</v>
      </c>
      <c r="J45" s="64">
        <f>I45+'S_4 lentelė'!J45</f>
        <v>51</v>
      </c>
      <c r="K45" s="64">
        <f>J45+'S_4 lentelė'!K45</f>
        <v>95</v>
      </c>
      <c r="L45" s="64">
        <f>K45+'S_4 lentelė'!L45</f>
        <v>95</v>
      </c>
      <c r="M45" s="64">
        <f>L45+'S_4 lentelė'!M45</f>
        <v>95</v>
      </c>
      <c r="N45" s="64">
        <f>M45+'S_4 lentelė'!N45</f>
        <v>95</v>
      </c>
      <c r="O45" s="112"/>
    </row>
    <row r="46" spans="2:15" ht="39" hidden="1" x14ac:dyDescent="0.25">
      <c r="B46" s="34" t="s">
        <v>795</v>
      </c>
      <c r="C46" s="62" t="s">
        <v>796</v>
      </c>
      <c r="D46" s="34"/>
      <c r="E46" s="34">
        <f>'S_4 lentelė'!E46</f>
        <v>0</v>
      </c>
      <c r="F46" s="34">
        <f>E46+'S_4 lentelė'!F46</f>
        <v>0</v>
      </c>
      <c r="G46" s="34">
        <f>F46+'S_4 lentelė'!G46</f>
        <v>0</v>
      </c>
      <c r="H46" s="64">
        <f>G46+'S_4 lentelė'!H46</f>
        <v>0</v>
      </c>
      <c r="I46" s="64">
        <f>H46+'S_4 lentelė'!I46</f>
        <v>0</v>
      </c>
      <c r="J46" s="64">
        <f>I46+'S_4 lentelė'!J46</f>
        <v>34500</v>
      </c>
      <c r="K46" s="64">
        <f>J46+'S_4 lentelė'!K46</f>
        <v>34500</v>
      </c>
      <c r="L46" s="64">
        <f>K46+'S_4 lentelė'!L46</f>
        <v>34500</v>
      </c>
      <c r="M46" s="64">
        <f>L46+'S_4 lentelė'!M46</f>
        <v>34500</v>
      </c>
      <c r="N46" s="64">
        <f>M46+'S_4 lentelė'!N46</f>
        <v>34500</v>
      </c>
      <c r="O46" s="112"/>
    </row>
    <row r="47" spans="2:15" ht="26.25" hidden="1" x14ac:dyDescent="0.25">
      <c r="B47" s="34" t="s">
        <v>797</v>
      </c>
      <c r="C47" s="62" t="s">
        <v>798</v>
      </c>
      <c r="D47" s="34"/>
      <c r="E47" s="34">
        <f>'S_4 lentelė'!E47</f>
        <v>0</v>
      </c>
      <c r="F47" s="34">
        <f>E47+'S_4 lentelė'!F47</f>
        <v>0</v>
      </c>
      <c r="G47" s="34">
        <f>F47+'S_4 lentelė'!G47</f>
        <v>0</v>
      </c>
      <c r="H47" s="64">
        <f>G47+'S_4 lentelė'!H47</f>
        <v>0</v>
      </c>
      <c r="I47" s="64">
        <f>H47+'S_4 lentelė'!I47</f>
        <v>0</v>
      </c>
      <c r="J47" s="64">
        <f>I47+'S_4 lentelė'!J47</f>
        <v>58</v>
      </c>
      <c r="K47" s="64">
        <f>J47+'S_4 lentelė'!K47</f>
        <v>58</v>
      </c>
      <c r="L47" s="64">
        <f>K47+'S_4 lentelė'!L47</f>
        <v>58</v>
      </c>
      <c r="M47" s="64">
        <f>L47+'S_4 lentelė'!M47</f>
        <v>58</v>
      </c>
      <c r="N47" s="64">
        <f>M47+'S_4 lentelė'!N47</f>
        <v>58</v>
      </c>
      <c r="O47" s="112"/>
    </row>
    <row r="48" spans="2:15" ht="51.75" hidden="1" x14ac:dyDescent="0.25">
      <c r="B48" s="34" t="s">
        <v>875</v>
      </c>
      <c r="C48" s="62" t="s">
        <v>949</v>
      </c>
      <c r="D48" s="34"/>
      <c r="E48" s="34">
        <f>'S_4 lentelė'!E48</f>
        <v>0</v>
      </c>
      <c r="F48" s="34">
        <f>E48+'S_4 lentelė'!F48</f>
        <v>0</v>
      </c>
      <c r="G48" s="34">
        <f>F48+'S_4 lentelė'!G48</f>
        <v>0</v>
      </c>
      <c r="H48" s="64">
        <f>G48+'S_4 lentelė'!H48</f>
        <v>0</v>
      </c>
      <c r="I48" s="64">
        <f>H48+'S_4 lentelė'!I48</f>
        <v>2621</v>
      </c>
      <c r="J48" s="64">
        <f>I48+'S_4 lentelė'!J48</f>
        <v>2621</v>
      </c>
      <c r="K48" s="64">
        <f>J48+'S_4 lentelė'!K48</f>
        <v>5246</v>
      </c>
      <c r="L48" s="64">
        <f>K48+'S_4 lentelė'!L48</f>
        <v>5246</v>
      </c>
      <c r="M48" s="64">
        <f>L48+'S_4 lentelė'!M48</f>
        <v>8682</v>
      </c>
      <c r="N48" s="64">
        <f>M48+'S_4 lentelė'!N48</f>
        <v>8682</v>
      </c>
      <c r="O48" s="112"/>
    </row>
    <row r="49" spans="2:15" ht="51.75" hidden="1" x14ac:dyDescent="0.25">
      <c r="B49" s="34" t="s">
        <v>950</v>
      </c>
      <c r="C49" s="62" t="s">
        <v>951</v>
      </c>
      <c r="D49" s="34"/>
      <c r="E49" s="34">
        <f>'S_4 lentelė'!E49</f>
        <v>0</v>
      </c>
      <c r="F49" s="34">
        <f>E49+'S_4 lentelė'!F49</f>
        <v>0</v>
      </c>
      <c r="G49" s="34">
        <f>F49+'S_4 lentelė'!G49</f>
        <v>0</v>
      </c>
      <c r="H49" s="64">
        <f>G49+'S_4 lentelė'!H49</f>
        <v>0</v>
      </c>
      <c r="I49" s="64">
        <f>H49+'S_4 lentelė'!I49</f>
        <v>0</v>
      </c>
      <c r="J49" s="64">
        <f>I49+'S_4 lentelė'!J49</f>
        <v>0</v>
      </c>
      <c r="K49" s="64">
        <f>J49+'S_4 lentelė'!K49</f>
        <v>0</v>
      </c>
      <c r="L49" s="64">
        <f>K49+'S_4 lentelė'!L49</f>
        <v>0</v>
      </c>
      <c r="M49" s="64">
        <f>L49+'S_4 lentelė'!M49</f>
        <v>0</v>
      </c>
      <c r="N49" s="64">
        <f>M49+'S_4 lentelė'!N49</f>
        <v>0</v>
      </c>
      <c r="O49" s="112"/>
    </row>
    <row r="50" spans="2:15" ht="51.75" hidden="1" x14ac:dyDescent="0.25">
      <c r="B50" s="34" t="s">
        <v>894</v>
      </c>
      <c r="C50" s="62" t="s">
        <v>895</v>
      </c>
      <c r="D50" s="34"/>
      <c r="E50" s="34">
        <f>'S_4 lentelė'!E50</f>
        <v>0</v>
      </c>
      <c r="F50" s="34">
        <f>E50+'S_4 lentelė'!F50</f>
        <v>0</v>
      </c>
      <c r="G50" s="34">
        <f>F50+'S_4 lentelė'!G50</f>
        <v>0</v>
      </c>
      <c r="H50" s="64">
        <f>G50+'S_4 lentelė'!H50</f>
        <v>0</v>
      </c>
      <c r="I50" s="64">
        <f>H50+'S_4 lentelė'!I50</f>
        <v>0</v>
      </c>
      <c r="J50" s="64">
        <f>I50+'S_4 lentelė'!J50</f>
        <v>33</v>
      </c>
      <c r="K50" s="64">
        <f>J50+'S_4 lentelė'!K50</f>
        <v>38</v>
      </c>
      <c r="L50" s="64">
        <f>K50+'S_4 lentelė'!L50</f>
        <v>38</v>
      </c>
      <c r="M50" s="64">
        <f>L50+'S_4 lentelė'!M50</f>
        <v>38</v>
      </c>
      <c r="N50" s="64">
        <f>M50+'S_4 lentelė'!N50</f>
        <v>38</v>
      </c>
      <c r="O50" s="112"/>
    </row>
    <row r="51" spans="2:15" ht="64.5" hidden="1" x14ac:dyDescent="0.25">
      <c r="B51" s="34" t="s">
        <v>896</v>
      </c>
      <c r="C51" s="62" t="s">
        <v>900</v>
      </c>
      <c r="D51" s="34"/>
      <c r="E51" s="34">
        <f>'S_4 lentelė'!E51</f>
        <v>0</v>
      </c>
      <c r="F51" s="34">
        <f>E51+'S_4 lentelė'!F51</f>
        <v>0</v>
      </c>
      <c r="G51" s="34">
        <f>F51+'S_4 lentelė'!G51</f>
        <v>0</v>
      </c>
      <c r="H51" s="64">
        <f>G51+'S_4 lentelė'!H51</f>
        <v>0</v>
      </c>
      <c r="I51" s="64">
        <f>H51+'S_4 lentelė'!I51</f>
        <v>0</v>
      </c>
      <c r="J51" s="64">
        <f>I51+'S_4 lentelė'!J51</f>
        <v>90</v>
      </c>
      <c r="K51" s="64">
        <f>J51+'S_4 lentelė'!K51</f>
        <v>120</v>
      </c>
      <c r="L51" s="64">
        <f>K51+'S_4 lentelė'!L51</f>
        <v>120</v>
      </c>
      <c r="M51" s="64">
        <f>L51+'S_4 lentelė'!M51</f>
        <v>120</v>
      </c>
      <c r="N51" s="64">
        <f>M51+'S_4 lentelė'!N51</f>
        <v>120</v>
      </c>
      <c r="O51" s="112"/>
    </row>
    <row r="52" spans="2:15" s="112" customFormat="1" ht="39" x14ac:dyDescent="0.25">
      <c r="B52" s="123" t="s">
        <v>855</v>
      </c>
      <c r="C52" s="137" t="s">
        <v>856</v>
      </c>
      <c r="D52" s="123"/>
      <c r="E52" s="123">
        <f>'S_4 lentelė'!E52</f>
        <v>0</v>
      </c>
      <c r="F52" s="123">
        <f>E52+'S_4 lentelė'!F52</f>
        <v>0</v>
      </c>
      <c r="G52" s="123">
        <f>F52+'S_4 lentelė'!G52</f>
        <v>0</v>
      </c>
      <c r="H52" s="135">
        <f>G52+'S_4 lentelė'!H52</f>
        <v>0</v>
      </c>
      <c r="I52" s="135">
        <f>H52+'S_4 lentelė'!I52</f>
        <v>48.32</v>
      </c>
      <c r="J52" s="135">
        <f>I52+'S_4 lentelė'!J52</f>
        <v>50.6</v>
      </c>
      <c r="K52" s="135">
        <f>J52+'S_4 lentelė'!K52</f>
        <v>121.09</v>
      </c>
      <c r="L52" s="135">
        <f>K52+'S_4 lentelė'!L52</f>
        <v>131.09</v>
      </c>
      <c r="M52" s="135">
        <f>L52+'S_4 lentelė'!M52</f>
        <v>131.09</v>
      </c>
      <c r="N52" s="135">
        <f>M52+'S_4 lentelė'!N52</f>
        <v>131.09</v>
      </c>
    </row>
    <row r="53" spans="2:15" ht="26.25" hidden="1" x14ac:dyDescent="0.25">
      <c r="B53" s="34" t="s">
        <v>888</v>
      </c>
      <c r="C53" s="62" t="s">
        <v>889</v>
      </c>
      <c r="D53" s="34"/>
      <c r="E53" s="34">
        <f>'S_4 lentelė'!E53</f>
        <v>0</v>
      </c>
      <c r="F53" s="34">
        <f>E53+'S_4 lentelė'!F53</f>
        <v>0</v>
      </c>
      <c r="G53" s="34">
        <f>F53+'S_4 lentelė'!G53</f>
        <v>0</v>
      </c>
      <c r="H53" s="64">
        <f>G53+'S_4 lentelė'!H53</f>
        <v>0</v>
      </c>
      <c r="I53" s="64">
        <f>H53+'S_4 lentelė'!I53</f>
        <v>42</v>
      </c>
      <c r="J53" s="34">
        <f>I53+'S_4 lentelė'!J53</f>
        <v>82</v>
      </c>
      <c r="K53" s="34">
        <f>J53+'S_4 lentelė'!K53</f>
        <v>98</v>
      </c>
      <c r="L53" s="34">
        <f>K53+'S_4 lentelė'!L53</f>
        <v>98</v>
      </c>
      <c r="M53" s="34">
        <f>L53+'S_4 lentelė'!M53</f>
        <v>98</v>
      </c>
      <c r="N53" s="34">
        <f>M53+'S_4 lentelė'!N53</f>
        <v>98</v>
      </c>
      <c r="O53" s="112"/>
    </row>
    <row r="54" spans="2:15" ht="26.25" hidden="1" x14ac:dyDescent="0.25">
      <c r="B54" s="34" t="s">
        <v>801</v>
      </c>
      <c r="C54" s="62" t="s">
        <v>952</v>
      </c>
      <c r="D54" s="34"/>
      <c r="E54" s="34">
        <f>'S_4 lentelė'!E54</f>
        <v>0</v>
      </c>
      <c r="F54" s="34">
        <f>E54+'S_4 lentelė'!F54</f>
        <v>0</v>
      </c>
      <c r="G54" s="34">
        <f>F54+'S_4 lentelė'!G54</f>
        <v>0</v>
      </c>
      <c r="H54" s="64">
        <f>G54+'S_4 lentelė'!H54</f>
        <v>0</v>
      </c>
      <c r="I54" s="64">
        <f>H54+'S_4 lentelė'!I54</f>
        <v>0</v>
      </c>
      <c r="J54" s="34">
        <f>I54+'S_4 lentelė'!J54</f>
        <v>0</v>
      </c>
      <c r="K54" s="34">
        <f>J54+'S_4 lentelė'!K54</f>
        <v>0</v>
      </c>
      <c r="L54" s="34">
        <f>K54+'S_4 lentelė'!L54</f>
        <v>0</v>
      </c>
      <c r="M54" s="34">
        <f>L54+'S_4 lentelė'!M54</f>
        <v>0</v>
      </c>
      <c r="N54" s="124">
        <f>M54+'S_4 lentelė'!N54</f>
        <v>0</v>
      </c>
      <c r="O54" s="112"/>
    </row>
    <row r="55" spans="2:15" ht="39" hidden="1" x14ac:dyDescent="0.25">
      <c r="B55" s="34" t="s">
        <v>865</v>
      </c>
      <c r="C55" s="62" t="s">
        <v>866</v>
      </c>
      <c r="D55" s="34"/>
      <c r="E55" s="34">
        <f>'S_4 lentelė'!E55</f>
        <v>0</v>
      </c>
      <c r="F55" s="34">
        <f>E55+'S_4 lentelė'!F55</f>
        <v>0</v>
      </c>
      <c r="G55" s="34">
        <f>F55+'S_4 lentelė'!G55</f>
        <v>0</v>
      </c>
      <c r="H55" s="64">
        <f>G55+'S_4 lentelė'!H55</f>
        <v>0</v>
      </c>
      <c r="I55" s="64">
        <f>H55+'S_4 lentelė'!I55</f>
        <v>0</v>
      </c>
      <c r="J55" s="34">
        <f>I55+'S_4 lentelė'!J55</f>
        <v>2</v>
      </c>
      <c r="K55" s="34">
        <f>J55+'S_4 lentelė'!K55</f>
        <v>6</v>
      </c>
      <c r="L55" s="34">
        <f>K55+'S_4 lentelė'!L55</f>
        <v>6</v>
      </c>
      <c r="M55" s="34">
        <f>L55+'S_4 lentelė'!M55</f>
        <v>6</v>
      </c>
      <c r="N55" s="34">
        <f>M55+'S_4 lentelė'!N55</f>
        <v>6</v>
      </c>
      <c r="O55" s="112"/>
    </row>
    <row r="56" spans="2:15" ht="26.25" hidden="1" x14ac:dyDescent="0.25">
      <c r="B56" s="34" t="s">
        <v>860</v>
      </c>
      <c r="C56" s="62" t="s">
        <v>861</v>
      </c>
      <c r="D56" s="34"/>
      <c r="E56" s="34">
        <f>'S_4 lentelė'!E56</f>
        <v>0</v>
      </c>
      <c r="F56" s="34">
        <f>E56+'S_4 lentelė'!F56</f>
        <v>0</v>
      </c>
      <c r="G56" s="34">
        <f>F56+'S_4 lentelė'!G56</f>
        <v>0</v>
      </c>
      <c r="H56" s="64">
        <f>G56+'S_4 lentelė'!H56</f>
        <v>0</v>
      </c>
      <c r="I56" s="64">
        <f>H56+'S_4 lentelė'!I56</f>
        <v>0</v>
      </c>
      <c r="J56" s="34">
        <f>I56+'S_4 lentelė'!J56</f>
        <v>0</v>
      </c>
      <c r="K56" s="34">
        <f>J56+'S_4 lentelė'!K56</f>
        <v>0</v>
      </c>
      <c r="L56" s="34">
        <f>K56+'S_4 lentelė'!L56</f>
        <v>2</v>
      </c>
      <c r="M56" s="34">
        <f>L56+'S_4 lentelė'!M56</f>
        <v>2</v>
      </c>
      <c r="N56" s="34">
        <f>M56+'S_4 lentelė'!N56</f>
        <v>2</v>
      </c>
      <c r="O56" s="112"/>
    </row>
    <row r="57" spans="2:15" ht="64.5" hidden="1" x14ac:dyDescent="0.25">
      <c r="B57" s="34" t="s">
        <v>873</v>
      </c>
      <c r="C57" s="62" t="s">
        <v>964</v>
      </c>
      <c r="D57" s="34"/>
      <c r="E57" s="34">
        <f>'S_4 lentelė'!E57</f>
        <v>0</v>
      </c>
      <c r="F57" s="34">
        <f>E57+'S_4 lentelė'!F57</f>
        <v>0</v>
      </c>
      <c r="G57" s="34">
        <f>F57+'S_4 lentelė'!G57</f>
        <v>0</v>
      </c>
      <c r="H57" s="64">
        <f>G57+'S_4 lentelė'!H57</f>
        <v>0</v>
      </c>
      <c r="I57" s="64">
        <f>H57+'S_4 lentelė'!I57</f>
        <v>60</v>
      </c>
      <c r="J57" s="34">
        <f>I57+'S_4 lentelė'!J57</f>
        <v>60</v>
      </c>
      <c r="K57" s="34">
        <f>J57+'S_4 lentelė'!K57</f>
        <v>60</v>
      </c>
      <c r="L57" s="34">
        <f>K57+'S_4 lentelė'!L57</f>
        <v>60</v>
      </c>
      <c r="M57" s="34">
        <f>L57+'S_4 lentelė'!M57</f>
        <v>101</v>
      </c>
      <c r="N57" s="34">
        <f>M57+'S_4 lentelė'!N57</f>
        <v>101</v>
      </c>
      <c r="O57" s="112"/>
    </row>
    <row r="58" spans="2:15" hidden="1" x14ac:dyDescent="0.25">
      <c r="B58" s="34" t="s">
        <v>962</v>
      </c>
      <c r="C58" s="62" t="s">
        <v>963</v>
      </c>
      <c r="D58" s="34"/>
      <c r="E58" s="34">
        <f>'S_4 lentelė'!E58</f>
        <v>0</v>
      </c>
      <c r="F58" s="34">
        <f>E58+'S_4 lentelė'!F58</f>
        <v>0</v>
      </c>
      <c r="G58" s="34">
        <f>F58+'S_4 lentelė'!G58</f>
        <v>0</v>
      </c>
      <c r="H58" s="64">
        <f>G58+'S_4 lentelė'!H58</f>
        <v>0</v>
      </c>
      <c r="I58" s="64">
        <f>H58+'S_4 lentelė'!I58</f>
        <v>0</v>
      </c>
      <c r="J58" s="34">
        <f>I58+'S_4 lentelė'!J58</f>
        <v>0</v>
      </c>
      <c r="K58" s="34">
        <f>J58+'S_4 lentelė'!K58</f>
        <v>9</v>
      </c>
      <c r="L58" s="34">
        <f>K58+'S_4 lentelė'!L58</f>
        <v>9</v>
      </c>
      <c r="M58" s="34">
        <f>L58+'S_4 lentelė'!M58</f>
        <v>9</v>
      </c>
      <c r="N58" s="34">
        <f>M58+'S_4 lentelė'!N58</f>
        <v>9</v>
      </c>
      <c r="O58" s="112"/>
    </row>
    <row r="59" spans="2:15" ht="39" hidden="1" x14ac:dyDescent="0.25">
      <c r="B59" s="64" t="s">
        <v>1009</v>
      </c>
      <c r="C59" s="91" t="s">
        <v>1010</v>
      </c>
      <c r="D59" s="111"/>
      <c r="E59" s="64">
        <v>0</v>
      </c>
      <c r="F59" s="64">
        <v>0</v>
      </c>
      <c r="G59" s="64">
        <v>0</v>
      </c>
      <c r="H59" s="64">
        <v>0</v>
      </c>
      <c r="I59" s="64">
        <v>0</v>
      </c>
      <c r="J59" s="34">
        <f>'S_4 lentelė'!J59</f>
        <v>22632</v>
      </c>
      <c r="K59" s="34">
        <f>J59+'S_4 lentelė'!K59</f>
        <v>86826</v>
      </c>
      <c r="L59" s="34">
        <f>K59+'S_4 lentelė'!L59</f>
        <v>106548</v>
      </c>
      <c r="M59" s="34">
        <f>L59+'S_4 lentelė'!M59</f>
        <v>106548</v>
      </c>
      <c r="N59" s="34">
        <f>M59+'S_4 lentelė'!N59</f>
        <v>106548</v>
      </c>
      <c r="O59" s="112"/>
    </row>
    <row r="60" spans="2:15" ht="51.75" hidden="1" x14ac:dyDescent="0.25">
      <c r="B60" s="64" t="s">
        <v>1011</v>
      </c>
      <c r="C60" s="91" t="s">
        <v>1012</v>
      </c>
      <c r="D60" s="111"/>
      <c r="E60" s="64"/>
      <c r="F60" s="64"/>
      <c r="G60" s="64"/>
      <c r="H60" s="64"/>
      <c r="I60" s="64"/>
      <c r="J60" s="34">
        <f>'S_4 lentelė'!J60</f>
        <v>3</v>
      </c>
      <c r="K60" s="34">
        <f>J60+'S_4 lentelė'!K60</f>
        <v>7</v>
      </c>
      <c r="L60" s="34">
        <f>K60+'S_4 lentelė'!L60</f>
        <v>8</v>
      </c>
      <c r="M60" s="34">
        <f>L60+'S_4 lentelė'!M60</f>
        <v>8</v>
      </c>
      <c r="N60" s="34">
        <f>M60+'S_4 lentelė'!N60</f>
        <v>8</v>
      </c>
      <c r="O60" s="112"/>
    </row>
    <row r="61" spans="2:15" x14ac:dyDescent="0.25">
      <c r="H61" s="66"/>
      <c r="I61" s="66"/>
      <c r="J61" s="66"/>
      <c r="K61" s="66"/>
      <c r="L61" s="66"/>
      <c r="M61" s="66"/>
      <c r="N61" s="66"/>
    </row>
    <row r="62" spans="2:15" x14ac:dyDescent="0.25">
      <c r="H62" s="66"/>
      <c r="I62" s="66"/>
      <c r="J62" s="66"/>
      <c r="K62" s="66"/>
      <c r="L62" s="66"/>
      <c r="M62" s="66"/>
      <c r="N62" s="66"/>
    </row>
    <row r="63" spans="2:15" x14ac:dyDescent="0.25">
      <c r="H63" s="66"/>
      <c r="I63" s="66"/>
      <c r="J63" s="66"/>
      <c r="K63" s="66"/>
      <c r="L63" s="66"/>
      <c r="M63" s="66"/>
      <c r="N63" s="66"/>
    </row>
    <row r="64" spans="2:15" x14ac:dyDescent="0.25">
      <c r="H64" s="66"/>
      <c r="I64" s="66"/>
      <c r="J64" s="66"/>
      <c r="K64" s="66"/>
      <c r="L64" s="66"/>
      <c r="M64" s="66"/>
      <c r="N64" s="66"/>
    </row>
    <row r="65" spans="8:14" x14ac:dyDescent="0.25">
      <c r="H65" s="66"/>
      <c r="I65" s="66"/>
      <c r="J65" s="66"/>
      <c r="K65" s="66"/>
      <c r="L65" s="66"/>
      <c r="M65" s="66"/>
      <c r="N65" s="66"/>
    </row>
    <row r="66" spans="8:14" x14ac:dyDescent="0.25">
      <c r="H66" s="66"/>
      <c r="I66" s="66"/>
      <c r="J66" s="66"/>
      <c r="K66" s="66"/>
      <c r="L66" s="66"/>
      <c r="M66" s="66"/>
      <c r="N66" s="66"/>
    </row>
    <row r="67" spans="8:14" x14ac:dyDescent="0.25">
      <c r="H67" s="66"/>
      <c r="I67" s="66"/>
      <c r="J67" s="66"/>
      <c r="K67" s="66"/>
      <c r="L67" s="66"/>
      <c r="M67" s="66"/>
      <c r="N67" s="66"/>
    </row>
    <row r="68" spans="8:14" x14ac:dyDescent="0.25">
      <c r="H68" s="66"/>
      <c r="I68" s="66"/>
      <c r="J68" s="66"/>
      <c r="K68" s="66"/>
      <c r="L68" s="66"/>
      <c r="M68" s="66"/>
      <c r="N68" s="66"/>
    </row>
    <row r="69" spans="8:14" x14ac:dyDescent="0.25">
      <c r="H69" s="66"/>
      <c r="I69" s="66"/>
      <c r="J69" s="66"/>
      <c r="K69" s="66"/>
      <c r="L69" s="66"/>
      <c r="M69" s="66"/>
      <c r="N69" s="66"/>
    </row>
    <row r="70" spans="8:14" x14ac:dyDescent="0.25">
      <c r="H70" s="66"/>
      <c r="I70" s="66"/>
      <c r="J70" s="66"/>
      <c r="K70" s="66"/>
      <c r="L70" s="66"/>
      <c r="M70" s="66"/>
      <c r="N70" s="66"/>
    </row>
    <row r="71" spans="8:14" x14ac:dyDescent="0.25">
      <c r="H71" s="66"/>
      <c r="I71" s="66"/>
      <c r="J71" s="66"/>
      <c r="K71" s="66"/>
      <c r="L71" s="66"/>
      <c r="M71" s="66"/>
      <c r="N71" s="66"/>
    </row>
    <row r="72" spans="8:14" x14ac:dyDescent="0.25">
      <c r="H72" s="66"/>
      <c r="I72" s="66"/>
      <c r="J72" s="66"/>
      <c r="K72" s="66"/>
      <c r="L72" s="66"/>
      <c r="M72" s="66"/>
      <c r="N72" s="66"/>
    </row>
    <row r="73" spans="8:14" x14ac:dyDescent="0.25">
      <c r="H73" s="66"/>
      <c r="I73" s="66"/>
      <c r="J73" s="66"/>
      <c r="K73" s="66"/>
      <c r="L73" s="66"/>
      <c r="M73" s="66"/>
      <c r="N73" s="66"/>
    </row>
    <row r="74" spans="8:14" x14ac:dyDescent="0.25">
      <c r="H74" s="66"/>
      <c r="I74" s="66"/>
      <c r="J74" s="66"/>
      <c r="K74" s="66"/>
      <c r="L74" s="66"/>
      <c r="M74" s="66"/>
      <c r="N74" s="66"/>
    </row>
    <row r="75" spans="8:14" x14ac:dyDescent="0.25">
      <c r="H75" s="66"/>
      <c r="I75" s="66"/>
      <c r="J75" s="66"/>
      <c r="K75" s="66"/>
      <c r="L75" s="66"/>
      <c r="M75" s="66"/>
      <c r="N75" s="66"/>
    </row>
    <row r="76" spans="8:14" x14ac:dyDescent="0.25">
      <c r="H76" s="66"/>
      <c r="I76" s="66"/>
      <c r="J76" s="66"/>
      <c r="K76" s="66"/>
      <c r="L76" s="66"/>
      <c r="M76" s="66"/>
      <c r="N76" s="66"/>
    </row>
    <row r="77" spans="8:14" x14ac:dyDescent="0.25">
      <c r="H77" s="66"/>
      <c r="I77" s="66"/>
      <c r="J77" s="66"/>
      <c r="K77" s="66"/>
      <c r="L77" s="66"/>
      <c r="M77" s="66"/>
      <c r="N77" s="66"/>
    </row>
    <row r="78" spans="8:14" x14ac:dyDescent="0.25">
      <c r="H78" s="66"/>
      <c r="I78" s="66"/>
      <c r="J78" s="66"/>
      <c r="K78" s="66"/>
      <c r="L78" s="66"/>
      <c r="M78" s="66"/>
      <c r="N78" s="66"/>
    </row>
    <row r="79" spans="8:14" x14ac:dyDescent="0.25">
      <c r="H79" s="66"/>
      <c r="I79" s="66"/>
      <c r="J79" s="66"/>
      <c r="K79" s="66"/>
      <c r="L79" s="66"/>
      <c r="M79" s="66"/>
      <c r="N79" s="66"/>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Dina Koliata</cp:lastModifiedBy>
  <cp:lastPrinted>2018-07-09T04:58:38Z</cp:lastPrinted>
  <dcterms:created xsi:type="dcterms:W3CDTF">2017-11-23T09:10:18Z</dcterms:created>
  <dcterms:modified xsi:type="dcterms:W3CDTF">2018-07-20T08:14:22Z</dcterms:modified>
</cp:coreProperties>
</file>