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0415" windowHeight="9285" activeTab="2"/>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s>
  <definedNames>
    <definedName name="_xlnm._FilterDatabase" localSheetId="0" hidden="1">'1 lentelė'!$B$7:$S$68</definedName>
    <definedName name="_xlnm._FilterDatabase" localSheetId="1" hidden="1">'2 lentelė'!$E$8:$V$205</definedName>
    <definedName name="_xlnm.Print_Area" localSheetId="2">'3 lentelė'!$B$1:$E$191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9" i="9" l="1"/>
  <c r="D188" i="9"/>
  <c r="Q186" i="2"/>
  <c r="P191" i="2"/>
  <c r="P190" i="2"/>
  <c r="P85" i="2"/>
  <c r="R85" i="2"/>
  <c r="S85" i="2"/>
  <c r="Q85" i="2"/>
  <c r="P88" i="2"/>
  <c r="P87" i="2"/>
  <c r="P127" i="2" l="1"/>
  <c r="D31" i="9" l="1"/>
  <c r="D31" i="3"/>
  <c r="Q12" i="2"/>
  <c r="R12" i="2"/>
  <c r="S31" i="2"/>
  <c r="B31" i="9" l="1"/>
  <c r="C31" i="9"/>
  <c r="B31" i="3"/>
  <c r="C31" i="3"/>
  <c r="Q41" i="2" l="1"/>
  <c r="R41" i="2" s="1"/>
  <c r="D207" i="3" l="1"/>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1" i="3"/>
  <c r="S209" i="2" l="1"/>
  <c r="H207" i="10" l="1"/>
  <c r="I207" i="10"/>
  <c r="K207" i="10" l="1"/>
  <c r="S205" i="2"/>
  <c r="S201" i="10"/>
  <c r="S197" i="10"/>
  <c r="S186" i="10"/>
  <c r="S188" i="2"/>
  <c r="S173" i="10"/>
  <c r="S154" i="10"/>
  <c r="E156" i="11"/>
  <c r="N149" i="11"/>
  <c r="S144" i="10"/>
  <c r="I122" i="11"/>
  <c r="O125" i="10"/>
  <c r="D125" i="3"/>
  <c r="S114" i="10"/>
  <c r="S121" i="10"/>
  <c r="C123" i="3"/>
  <c r="S122" i="10"/>
  <c r="S117" i="10"/>
  <c r="S115" i="10"/>
  <c r="C112" i="3"/>
  <c r="D112" i="3"/>
  <c r="B112" i="3"/>
  <c r="D114" i="3"/>
  <c r="D111" i="3"/>
  <c r="C111" i="3"/>
  <c r="D113" i="3"/>
  <c r="D115" i="3"/>
  <c r="D116" i="3"/>
  <c r="D117" i="3"/>
  <c r="D118" i="3"/>
  <c r="D119" i="3"/>
  <c r="D120" i="3"/>
  <c r="D121" i="3"/>
  <c r="D122" i="3"/>
  <c r="D123" i="3"/>
  <c r="D124" i="3"/>
  <c r="D126" i="3"/>
  <c r="D127" i="3"/>
  <c r="D128" i="3"/>
  <c r="D129" i="3"/>
  <c r="D130" i="3"/>
  <c r="D131" i="3"/>
  <c r="D132" i="3"/>
  <c r="D133" i="3"/>
  <c r="D134" i="3"/>
  <c r="D135" i="3"/>
  <c r="D136" i="3"/>
  <c r="D137" i="3"/>
  <c r="D138" i="3"/>
  <c r="D139" i="3"/>
  <c r="B111" i="3"/>
  <c r="J108" i="10"/>
  <c r="G107" i="11"/>
  <c r="S104" i="10"/>
  <c r="I102" i="11"/>
  <c r="C82" i="3" l="1"/>
  <c r="D82" i="3"/>
  <c r="B82" i="3"/>
  <c r="G29" i="11" l="1"/>
  <c r="H29" i="11"/>
  <c r="I29" i="11"/>
  <c r="G30" i="11"/>
  <c r="H30" i="11"/>
  <c r="I30" i="11"/>
  <c r="H28" i="11"/>
  <c r="I28" i="11"/>
  <c r="G28" i="11"/>
  <c r="H27" i="11"/>
  <c r="I27" i="11"/>
  <c r="G27" i="11"/>
  <c r="B27" i="11"/>
  <c r="C27" i="11"/>
  <c r="D27" i="11"/>
  <c r="B28" i="11"/>
  <c r="C28" i="11"/>
  <c r="D28" i="11"/>
  <c r="B29" i="11"/>
  <c r="C29" i="11"/>
  <c r="D29" i="11"/>
  <c r="B30" i="11"/>
  <c r="C30" i="11"/>
  <c r="D30" i="11"/>
  <c r="M12" i="10"/>
  <c r="N12" i="10"/>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9" i="10"/>
  <c r="P13" i="10"/>
  <c r="O13" i="10"/>
  <c r="O17" i="10" l="1"/>
  <c r="H66" i="11"/>
  <c r="I66" i="11"/>
  <c r="G66" i="11"/>
  <c r="B66" i="11"/>
  <c r="C66" i="11"/>
  <c r="D66" i="11"/>
  <c r="I66" i="10"/>
  <c r="J66" i="10"/>
  <c r="K66" i="10"/>
  <c r="H66" i="10"/>
  <c r="B66" i="10"/>
  <c r="C66" i="10"/>
  <c r="D66" i="10"/>
  <c r="E66" i="10"/>
  <c r="J56" i="10"/>
  <c r="N56" i="10" s="1"/>
  <c r="I56" i="10"/>
  <c r="M56" i="10" s="1"/>
  <c r="H56" i="10"/>
  <c r="L56" i="10" s="1"/>
  <c r="C66" i="9" l="1"/>
  <c r="D66" i="9"/>
  <c r="B66" i="9"/>
  <c r="C67" i="3"/>
  <c r="D67" i="3"/>
  <c r="B67" i="3"/>
  <c r="R60" i="2"/>
  <c r="Q60" i="2"/>
  <c r="B28" i="9"/>
  <c r="C28" i="9"/>
  <c r="D28" i="9"/>
  <c r="B29" i="9"/>
  <c r="C29" i="9"/>
  <c r="D29" i="9"/>
  <c r="B30" i="9"/>
  <c r="C30" i="9"/>
  <c r="D30" i="9"/>
  <c r="C27" i="9"/>
  <c r="D27" i="9"/>
  <c r="B27" i="9"/>
  <c r="B28" i="3"/>
  <c r="C28" i="3"/>
  <c r="D28" i="3"/>
  <c r="B29" i="3"/>
  <c r="C29" i="3"/>
  <c r="D29" i="3"/>
  <c r="B30" i="3"/>
  <c r="C30" i="3"/>
  <c r="D30" i="3"/>
  <c r="C27" i="3"/>
  <c r="D27" i="3"/>
  <c r="B27" i="3"/>
  <c r="S57" i="2" l="1"/>
  <c r="K56" i="10" s="1"/>
  <c r="O56" i="10" s="1"/>
  <c r="S54" i="2"/>
  <c r="B20" i="3" l="1"/>
  <c r="C20" i="3"/>
  <c r="D20" i="3"/>
  <c r="Q202" i="2"/>
  <c r="R202" i="2"/>
  <c r="S203" i="2"/>
  <c r="C180" i="3"/>
  <c r="B180" i="3"/>
  <c r="W26" i="3"/>
  <c r="X26" i="3" s="1"/>
  <c r="D26" i="3"/>
  <c r="C26" i="3"/>
  <c r="B26" i="3"/>
  <c r="Q79" i="2" l="1"/>
  <c r="R79" i="2"/>
  <c r="D115" i="2"/>
  <c r="B115" i="2"/>
  <c r="L39" i="10" l="1"/>
  <c r="M39" i="10"/>
  <c r="P39" i="10"/>
  <c r="J73" i="10"/>
  <c r="N59" i="10"/>
  <c r="P59" i="10"/>
  <c r="Q59" i="10"/>
  <c r="R59" i="10"/>
  <c r="T59" i="10"/>
  <c r="L59" i="10"/>
  <c r="M59" i="10"/>
  <c r="Q40" i="2"/>
  <c r="R40" i="2"/>
  <c r="P40" i="2"/>
  <c r="D40" i="11" l="1"/>
  <c r="B40" i="11"/>
  <c r="Q40" i="10"/>
  <c r="N40" i="10"/>
  <c r="N39" i="10" s="1"/>
  <c r="J40" i="10"/>
  <c r="J39" i="10" s="1"/>
  <c r="I40" i="10"/>
  <c r="I39" i="10" s="1"/>
  <c r="H40" i="10"/>
  <c r="H39" i="10" s="1"/>
  <c r="F40" i="10"/>
  <c r="E40" i="10"/>
  <c r="D40" i="10"/>
  <c r="B40" i="10"/>
  <c r="D41" i="3"/>
  <c r="B41" i="3"/>
  <c r="S40" i="2"/>
  <c r="O40" i="10" l="1"/>
  <c r="O39" i="10" s="1"/>
  <c r="R40" i="10"/>
  <c r="R39" i="10" s="1"/>
  <c r="Q39" i="10"/>
  <c r="S40" i="10"/>
  <c r="S39" i="10" s="1"/>
  <c r="K40" i="10"/>
  <c r="K39" i="10" s="1"/>
  <c r="O154" i="10"/>
  <c r="O153" i="10"/>
  <c r="O117" i="10" l="1"/>
  <c r="O62"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S177" i="10"/>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I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O124" i="10"/>
  <c r="B124" i="10"/>
  <c r="C124" i="10"/>
  <c r="D124" i="10"/>
  <c r="E124" i="10"/>
  <c r="B125" i="10"/>
  <c r="C125" i="10"/>
  <c r="D125" i="10"/>
  <c r="E125" i="10"/>
  <c r="H122" i="10"/>
  <c r="I122" i="10"/>
  <c r="J122" i="10"/>
  <c r="H120" i="10"/>
  <c r="I120" i="10"/>
  <c r="J120" i="10"/>
  <c r="H115" i="10"/>
  <c r="I115" i="10"/>
  <c r="J115" i="10"/>
  <c r="G108" i="11"/>
  <c r="H108" i="11"/>
  <c r="I108" i="11"/>
  <c r="G109" i="11"/>
  <c r="H109" i="11"/>
  <c r="I109" i="11"/>
  <c r="G110" i="11"/>
  <c r="H110" i="11"/>
  <c r="I110" i="11"/>
  <c r="G111" i="11"/>
  <c r="H111" i="11"/>
  <c r="I111" i="11"/>
  <c r="G112" i="11"/>
  <c r="H112" i="11"/>
  <c r="I112" i="11"/>
  <c r="H107" i="11"/>
  <c r="I107" i="11"/>
  <c r="I107" i="10"/>
  <c r="J107" i="10"/>
  <c r="H107" i="10"/>
  <c r="M104" i="11"/>
  <c r="N104" i="11"/>
  <c r="L104" i="11"/>
  <c r="G105" i="11"/>
  <c r="H105" i="11"/>
  <c r="I105" i="11"/>
  <c r="H104" i="11"/>
  <c r="I104" i="11"/>
  <c r="G104" i="11"/>
  <c r="S99" i="10" l="1"/>
  <c r="W99" i="11"/>
  <c r="X99" i="11"/>
  <c r="V99" i="11"/>
  <c r="AF96" i="11"/>
  <c r="AG96" i="11"/>
  <c r="AH96" i="11"/>
  <c r="AG95" i="11"/>
  <c r="AH95" i="11"/>
  <c r="AF95" i="11"/>
  <c r="B94" i="11"/>
  <c r="C94" i="11"/>
  <c r="D94" i="11"/>
  <c r="G94" i="11"/>
  <c r="H94" i="11"/>
  <c r="I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B98" i="11"/>
  <c r="C98" i="11"/>
  <c r="D98" i="11"/>
  <c r="G98" i="11"/>
  <c r="H98" i="11"/>
  <c r="I98" i="11"/>
  <c r="B99" i="11"/>
  <c r="C99" i="11"/>
  <c r="D99" i="11"/>
  <c r="G99" i="11"/>
  <c r="H99" i="11"/>
  <c r="I99" i="11"/>
  <c r="Q99" i="11"/>
  <c r="R99" i="11"/>
  <c r="S99" i="11"/>
  <c r="AA99" i="11"/>
  <c r="AB99" i="11"/>
  <c r="AC99" i="11"/>
  <c r="B100" i="11"/>
  <c r="C100" i="11"/>
  <c r="D100" i="11"/>
  <c r="G100" i="11"/>
  <c r="H100" i="11"/>
  <c r="I100" i="11"/>
  <c r="L100" i="11"/>
  <c r="M100" i="11"/>
  <c r="N100" i="11"/>
  <c r="Q100" i="11"/>
  <c r="R100" i="11"/>
  <c r="S100" i="11"/>
  <c r="V100" i="11"/>
  <c r="W100" i="11"/>
  <c r="X100" i="11"/>
  <c r="B101" i="11"/>
  <c r="C101" i="11"/>
  <c r="D101" i="11"/>
  <c r="G101" i="11"/>
  <c r="H101" i="11"/>
  <c r="I101" i="11"/>
  <c r="L101" i="11"/>
  <c r="M101" i="11"/>
  <c r="N101" i="11"/>
  <c r="Q101" i="11"/>
  <c r="R101" i="11"/>
  <c r="S101" i="11"/>
  <c r="V101" i="11"/>
  <c r="W101" i="11"/>
  <c r="X101" i="11"/>
  <c r="AA101" i="11"/>
  <c r="AB101" i="11"/>
  <c r="AC101" i="11"/>
  <c r="B102" i="11"/>
  <c r="C102" i="11"/>
  <c r="D102" i="11"/>
  <c r="G102" i="11"/>
  <c r="H102" i="11"/>
  <c r="L102" i="11"/>
  <c r="M102" i="11"/>
  <c r="N102" i="11"/>
  <c r="Q102" i="11"/>
  <c r="R102" i="11"/>
  <c r="S102" i="11"/>
  <c r="V102" i="11"/>
  <c r="W102" i="11"/>
  <c r="X102" i="11"/>
  <c r="AA102" i="11"/>
  <c r="AB102" i="11"/>
  <c r="AC102" i="11"/>
  <c r="B93" i="11"/>
  <c r="C93" i="11"/>
  <c r="D93" i="11"/>
  <c r="G93" i="11"/>
  <c r="H93" i="11"/>
  <c r="I93" i="11"/>
  <c r="L93" i="11"/>
  <c r="M93" i="11"/>
  <c r="N93" i="11"/>
  <c r="Q93" i="11"/>
  <c r="R93" i="11"/>
  <c r="S93" i="11"/>
  <c r="V93" i="11"/>
  <c r="W93" i="11"/>
  <c r="X93" i="11"/>
  <c r="AA93" i="11"/>
  <c r="AB93" i="11"/>
  <c r="AC93" i="11"/>
  <c r="AG92" i="11"/>
  <c r="AH92" i="11"/>
  <c r="AF92" i="11"/>
  <c r="AB92" i="11"/>
  <c r="AC92" i="11"/>
  <c r="AA92" i="11"/>
  <c r="X92" i="11"/>
  <c r="W92" i="11"/>
  <c r="V92" i="11"/>
  <c r="R92" i="11"/>
  <c r="S92" i="11"/>
  <c r="Q92" i="11"/>
  <c r="M92" i="11"/>
  <c r="N92" i="11"/>
  <c r="L92" i="11"/>
  <c r="H92" i="11"/>
  <c r="I92" i="11"/>
  <c r="G92" i="11"/>
  <c r="G87" i="11"/>
  <c r="H87" i="11"/>
  <c r="I87" i="11"/>
  <c r="J87" i="11"/>
  <c r="K87" i="11"/>
  <c r="G88" i="11"/>
  <c r="H88" i="11"/>
  <c r="I88" i="11"/>
  <c r="J88" i="11"/>
  <c r="K88" i="11"/>
  <c r="H86" i="11"/>
  <c r="I86" i="11"/>
  <c r="J86" i="11"/>
  <c r="K86" i="11"/>
  <c r="G86" i="11"/>
  <c r="I65" i="10"/>
  <c r="J65" i="10"/>
  <c r="K65" i="10"/>
  <c r="B65" i="10"/>
  <c r="C65" i="10"/>
  <c r="D65" i="10"/>
  <c r="E65" i="10"/>
  <c r="S63" i="10" l="1"/>
  <c r="S48" i="10"/>
  <c r="S51" i="10"/>
  <c r="O51" i="10"/>
  <c r="S45" i="10"/>
  <c r="I26" i="11" l="1"/>
  <c r="I14" i="11"/>
  <c r="I15" i="11"/>
  <c r="I17" i="11"/>
  <c r="C207" i="3"/>
  <c r="B207" i="3"/>
  <c r="C206" i="3"/>
  <c r="B206" i="3"/>
  <c r="C205" i="3"/>
  <c r="B205" i="3"/>
  <c r="C204" i="3"/>
  <c r="B204" i="3"/>
  <c r="C203" i="3"/>
  <c r="B203" i="3"/>
  <c r="C202" i="3"/>
  <c r="B202" i="3"/>
  <c r="C201" i="3"/>
  <c r="B201" i="3"/>
  <c r="B200" i="3"/>
  <c r="B199" i="3"/>
  <c r="C198" i="3"/>
  <c r="B198" i="3"/>
  <c r="C197" i="3"/>
  <c r="B197" i="3"/>
  <c r="C196" i="3"/>
  <c r="B196" i="3"/>
  <c r="C195" i="3"/>
  <c r="B195" i="3"/>
  <c r="C194" i="3"/>
  <c r="B194" i="3"/>
  <c r="C193" i="3"/>
  <c r="B193" i="3"/>
  <c r="B192" i="3"/>
  <c r="B191" i="3"/>
  <c r="C190" i="3"/>
  <c r="B190" i="3"/>
  <c r="C189" i="3"/>
  <c r="B189" i="3"/>
  <c r="C188" i="3"/>
  <c r="B188" i="3"/>
  <c r="C187" i="3"/>
  <c r="B187" i="3"/>
  <c r="C186" i="3"/>
  <c r="B186" i="3"/>
  <c r="C185" i="3"/>
  <c r="B185" i="3"/>
  <c r="B184" i="3"/>
  <c r="C183" i="3"/>
  <c r="B183" i="3"/>
  <c r="C182" i="3"/>
  <c r="B182" i="3"/>
  <c r="C181" i="3"/>
  <c r="B181" i="3"/>
  <c r="B179" i="3"/>
  <c r="B178" i="3"/>
  <c r="C177" i="3"/>
  <c r="B177" i="3"/>
  <c r="C176" i="3"/>
  <c r="B176" i="3"/>
  <c r="C175" i="3"/>
  <c r="B175" i="3"/>
  <c r="C174" i="3"/>
  <c r="B174" i="3"/>
  <c r="C173" i="3"/>
  <c r="B173" i="3"/>
  <c r="C172" i="3"/>
  <c r="B172" i="3"/>
  <c r="C171" i="3"/>
  <c r="B171" i="3"/>
  <c r="B170" i="3"/>
  <c r="B169" i="3"/>
  <c r="C168" i="3"/>
  <c r="B168" i="3"/>
  <c r="C167" i="3"/>
  <c r="B167" i="3"/>
  <c r="C166" i="3"/>
  <c r="B166" i="3"/>
  <c r="C165" i="3"/>
  <c r="B165" i="3"/>
  <c r="C164" i="3"/>
  <c r="B164" i="3"/>
  <c r="C163" i="3"/>
  <c r="B163" i="3"/>
  <c r="B162" i="3"/>
  <c r="C161" i="3"/>
  <c r="B161" i="3"/>
  <c r="C160" i="3"/>
  <c r="B160" i="3"/>
  <c r="C159" i="3"/>
  <c r="B159" i="3"/>
  <c r="C158" i="3"/>
  <c r="B158" i="3"/>
  <c r="C157" i="3"/>
  <c r="B157" i="3"/>
  <c r="C156" i="3"/>
  <c r="B156" i="3"/>
  <c r="C155" i="3"/>
  <c r="B155" i="3"/>
  <c r="C154" i="3"/>
  <c r="B154" i="3"/>
  <c r="C153" i="3"/>
  <c r="B153" i="3"/>
  <c r="B152" i="3"/>
  <c r="B151" i="3"/>
  <c r="B150" i="3"/>
  <c r="C149" i="3"/>
  <c r="B149" i="3"/>
  <c r="C148" i="3"/>
  <c r="B148" i="3"/>
  <c r="B147" i="3"/>
  <c r="B146" i="3"/>
  <c r="C145" i="3"/>
  <c r="B145" i="3"/>
  <c r="C144" i="3"/>
  <c r="B144" i="3"/>
  <c r="C143" i="3"/>
  <c r="B143" i="3"/>
  <c r="B142" i="3"/>
  <c r="C141" i="3"/>
  <c r="B141" i="3"/>
  <c r="C140" i="3"/>
  <c r="B140" i="3"/>
  <c r="B139" i="3"/>
  <c r="B138" i="3"/>
  <c r="B137" i="3"/>
  <c r="B136" i="3"/>
  <c r="C135" i="3"/>
  <c r="B135" i="3"/>
  <c r="B134" i="3"/>
  <c r="B133" i="3"/>
  <c r="B132" i="3"/>
  <c r="B131" i="3"/>
  <c r="C130" i="3"/>
  <c r="B130" i="3"/>
  <c r="B129" i="3"/>
  <c r="B128" i="3"/>
  <c r="B127" i="3"/>
  <c r="C126" i="3"/>
  <c r="B126" i="3"/>
  <c r="C125" i="3"/>
  <c r="B125" i="3"/>
  <c r="C124" i="3"/>
  <c r="B124" i="3"/>
  <c r="B123" i="3"/>
  <c r="C122" i="3"/>
  <c r="B122" i="3"/>
  <c r="C121" i="3"/>
  <c r="B121" i="3"/>
  <c r="C120" i="3"/>
  <c r="B120" i="3"/>
  <c r="C119" i="3"/>
  <c r="B119" i="3"/>
  <c r="C118" i="3"/>
  <c r="B118" i="3"/>
  <c r="C117" i="3"/>
  <c r="B117" i="3"/>
  <c r="C116" i="3"/>
  <c r="B116" i="3"/>
  <c r="C115" i="3"/>
  <c r="B115" i="3"/>
  <c r="B114" i="3"/>
  <c r="B113" i="3"/>
  <c r="D110" i="3"/>
  <c r="C110" i="3"/>
  <c r="B110" i="3"/>
  <c r="D109" i="3"/>
  <c r="C109" i="3"/>
  <c r="B109" i="3"/>
  <c r="D108" i="3"/>
  <c r="C108" i="3"/>
  <c r="B108" i="3"/>
  <c r="D107" i="3"/>
  <c r="C107" i="3"/>
  <c r="B107" i="3"/>
  <c r="D106" i="3"/>
  <c r="C106" i="3"/>
  <c r="B106" i="3"/>
  <c r="D105" i="3"/>
  <c r="C105" i="3"/>
  <c r="B105" i="3"/>
  <c r="D104" i="3"/>
  <c r="C104" i="3"/>
  <c r="B104" i="3"/>
  <c r="D103" i="3"/>
  <c r="B103" i="3"/>
  <c r="D102" i="3"/>
  <c r="C102" i="3"/>
  <c r="B102" i="3"/>
  <c r="D101" i="3"/>
  <c r="C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B91" i="3"/>
  <c r="D90" i="3"/>
  <c r="B90" i="3"/>
  <c r="D89" i="3"/>
  <c r="B89" i="3"/>
  <c r="D87" i="3"/>
  <c r="C87" i="3"/>
  <c r="B87" i="3"/>
  <c r="D86" i="3"/>
  <c r="C86" i="3"/>
  <c r="B86" i="3"/>
  <c r="D85" i="3"/>
  <c r="B85" i="3"/>
  <c r="D84" i="3"/>
  <c r="B84" i="3"/>
  <c r="D83" i="3"/>
  <c r="C83" i="3"/>
  <c r="B83" i="3"/>
  <c r="D81" i="3"/>
  <c r="C81" i="3"/>
  <c r="B81" i="3"/>
  <c r="D80" i="3"/>
  <c r="C80" i="3"/>
  <c r="B80" i="3"/>
  <c r="D79" i="3"/>
  <c r="B79" i="3"/>
  <c r="D78" i="3"/>
  <c r="B78" i="3"/>
  <c r="D77" i="3"/>
  <c r="B77" i="3"/>
  <c r="D76" i="3"/>
  <c r="B76" i="3"/>
  <c r="D75" i="3"/>
  <c r="C75" i="3"/>
  <c r="B75" i="3"/>
  <c r="D74" i="3"/>
  <c r="B74" i="3"/>
  <c r="D72" i="3"/>
  <c r="C72" i="3"/>
  <c r="B72" i="3"/>
  <c r="D71" i="3"/>
  <c r="C71" i="3"/>
  <c r="B71" i="3"/>
  <c r="D70" i="3"/>
  <c r="C70" i="3"/>
  <c r="B70" i="3"/>
  <c r="D68" i="3"/>
  <c r="B68" i="3"/>
  <c r="D66" i="3"/>
  <c r="C66" i="3"/>
  <c r="B66" i="3"/>
  <c r="D65" i="3"/>
  <c r="C65" i="3"/>
  <c r="B65" i="3"/>
  <c r="D64" i="3"/>
  <c r="C64" i="3"/>
  <c r="B64" i="3"/>
  <c r="D63" i="3"/>
  <c r="C63" i="3"/>
  <c r="B63" i="3"/>
  <c r="D62" i="3"/>
  <c r="C62" i="3"/>
  <c r="B62" i="3"/>
  <c r="D60" i="3"/>
  <c r="B60" i="3"/>
  <c r="D59" i="3"/>
  <c r="B59" i="3"/>
  <c r="D58" i="3"/>
  <c r="C58" i="3"/>
  <c r="B58" i="3"/>
  <c r="D57" i="3"/>
  <c r="C57" i="3"/>
  <c r="B57"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D44" i="3"/>
  <c r="B44" i="3"/>
  <c r="D43" i="3"/>
  <c r="B43" i="3"/>
  <c r="D42" i="3"/>
  <c r="B42" i="3"/>
  <c r="D40" i="3"/>
  <c r="B40" i="3"/>
  <c r="D39" i="3"/>
  <c r="B39" i="3"/>
  <c r="D38" i="3"/>
  <c r="C38" i="3"/>
  <c r="B38" i="3"/>
  <c r="W37" i="3"/>
  <c r="X37" i="3" s="1"/>
  <c r="D37" i="3"/>
  <c r="B37" i="3"/>
  <c r="W36" i="3"/>
  <c r="X36" i="3" s="1"/>
  <c r="D36" i="3"/>
  <c r="B36" i="3"/>
  <c r="W35" i="3"/>
  <c r="X35" i="3" s="1"/>
  <c r="D35" i="3"/>
  <c r="C35" i="3"/>
  <c r="B35" i="3"/>
  <c r="W34" i="3"/>
  <c r="X34" i="3" s="1"/>
  <c r="D34" i="3"/>
  <c r="C34" i="3"/>
  <c r="B34" i="3"/>
  <c r="W33" i="3"/>
  <c r="X33" i="3" s="1"/>
  <c r="D33" i="3"/>
  <c r="C33" i="3"/>
  <c r="B33" i="3"/>
  <c r="W32" i="3"/>
  <c r="X32" i="3" s="1"/>
  <c r="D32" i="3"/>
  <c r="B32" i="3"/>
  <c r="D25" i="3"/>
  <c r="C25" i="3"/>
  <c r="B25" i="3"/>
  <c r="W24" i="3"/>
  <c r="X24" i="3" s="1"/>
  <c r="D24" i="3"/>
  <c r="C24" i="3"/>
  <c r="B24" i="3"/>
  <c r="W23" i="3"/>
  <c r="X23" i="3" s="1"/>
  <c r="D23" i="3"/>
  <c r="C23" i="3"/>
  <c r="B23" i="3"/>
  <c r="W22" i="3"/>
  <c r="X22" i="3" s="1"/>
  <c r="D22" i="3"/>
  <c r="C22" i="3"/>
  <c r="B22" i="3"/>
  <c r="W21" i="3"/>
  <c r="X21" i="3" s="1"/>
  <c r="D21" i="3"/>
  <c r="C21" i="3"/>
  <c r="B21" i="3"/>
  <c r="W20" i="3"/>
  <c r="X20" i="3" s="1"/>
  <c r="W19" i="3"/>
  <c r="D19" i="3"/>
  <c r="C19" i="3"/>
  <c r="B19" i="3"/>
  <c r="W18" i="3"/>
  <c r="X18" i="3" s="1"/>
  <c r="D18" i="3"/>
  <c r="C18" i="3"/>
  <c r="B18" i="3"/>
  <c r="W17" i="3"/>
  <c r="X17" i="3" s="1"/>
  <c r="D17" i="3"/>
  <c r="C17" i="3"/>
  <c r="B17" i="3"/>
  <c r="W16" i="3"/>
  <c r="X16" i="3" s="1"/>
  <c r="D16" i="3"/>
  <c r="C16" i="3"/>
  <c r="B16" i="3"/>
  <c r="W15" i="3"/>
  <c r="X15" i="3" s="1"/>
  <c r="D15" i="3"/>
  <c r="C15" i="3"/>
  <c r="B15" i="3"/>
  <c r="W14" i="3"/>
  <c r="X14" i="3" s="1"/>
  <c r="D14" i="3"/>
  <c r="C14" i="3"/>
  <c r="B14" i="3"/>
  <c r="W13" i="3"/>
  <c r="X13" i="3" s="1"/>
  <c r="D13" i="3"/>
  <c r="C13" i="3"/>
  <c r="B13" i="3"/>
  <c r="D207" i="9" l="1"/>
  <c r="C207" i="9"/>
  <c r="B207" i="9"/>
  <c r="D206" i="9"/>
  <c r="C206" i="9"/>
  <c r="B206" i="9"/>
  <c r="D205" i="9"/>
  <c r="C205" i="9"/>
  <c r="B205" i="9"/>
  <c r="D204" i="9"/>
  <c r="C204" i="9"/>
  <c r="B204" i="9"/>
  <c r="D203" i="9"/>
  <c r="C203" i="9"/>
  <c r="B203" i="9"/>
  <c r="D202" i="9"/>
  <c r="C202" i="9"/>
  <c r="B202" i="9"/>
  <c r="D201" i="9"/>
  <c r="C201" i="9"/>
  <c r="B201" i="9"/>
  <c r="D200" i="9"/>
  <c r="B200" i="9"/>
  <c r="D199" i="9"/>
  <c r="B199" i="9"/>
  <c r="D198" i="9"/>
  <c r="C198" i="9"/>
  <c r="B198" i="9"/>
  <c r="D197" i="9"/>
  <c r="C197" i="9"/>
  <c r="B197" i="9"/>
  <c r="D196" i="9"/>
  <c r="C196" i="9"/>
  <c r="B196" i="9"/>
  <c r="D195" i="9"/>
  <c r="C195" i="9"/>
  <c r="B195" i="9"/>
  <c r="D194" i="9"/>
  <c r="C194" i="9"/>
  <c r="B194" i="9"/>
  <c r="D193" i="9"/>
  <c r="C193" i="9"/>
  <c r="B193" i="9"/>
  <c r="D192" i="9"/>
  <c r="B192" i="9"/>
  <c r="D191" i="9"/>
  <c r="B191" i="9"/>
  <c r="D190" i="9"/>
  <c r="C190" i="9"/>
  <c r="B190" i="9"/>
  <c r="C189" i="9"/>
  <c r="B189" i="9"/>
  <c r="C188" i="9"/>
  <c r="B188" i="9"/>
  <c r="D187" i="9"/>
  <c r="C187" i="9"/>
  <c r="B187" i="9"/>
  <c r="D186" i="9"/>
  <c r="C186" i="9"/>
  <c r="B186" i="9"/>
  <c r="D185" i="9"/>
  <c r="C185" i="9"/>
  <c r="B185" i="9"/>
  <c r="D184" i="9"/>
  <c r="B184" i="9"/>
  <c r="D183" i="9"/>
  <c r="C183" i="9"/>
  <c r="B183" i="9"/>
  <c r="D182" i="9"/>
  <c r="C182" i="9"/>
  <c r="B182" i="9"/>
  <c r="D181" i="9"/>
  <c r="C181" i="9"/>
  <c r="B181" i="9"/>
  <c r="D180" i="9"/>
  <c r="C180" i="9"/>
  <c r="B180" i="9"/>
  <c r="D179" i="9"/>
  <c r="C179" i="9"/>
  <c r="B179" i="9"/>
  <c r="D178" i="9"/>
  <c r="C178" i="9"/>
  <c r="B178" i="9"/>
  <c r="D177" i="9"/>
  <c r="C177" i="9"/>
  <c r="B177" i="9"/>
  <c r="D176" i="9"/>
  <c r="C176" i="9"/>
  <c r="B176" i="9"/>
  <c r="D175" i="9"/>
  <c r="C175" i="9"/>
  <c r="B175" i="9"/>
  <c r="D174" i="9"/>
  <c r="C174" i="9"/>
  <c r="B174" i="9"/>
  <c r="D173" i="9"/>
  <c r="C173" i="9"/>
  <c r="B173" i="9"/>
  <c r="D172" i="9"/>
  <c r="C172" i="9"/>
  <c r="B172" i="9"/>
  <c r="D171" i="9"/>
  <c r="C171" i="9"/>
  <c r="B171" i="9"/>
  <c r="D170" i="9"/>
  <c r="B170" i="9"/>
  <c r="D169" i="9"/>
  <c r="B169" i="9"/>
  <c r="D168" i="9"/>
  <c r="C168" i="9"/>
  <c r="B168" i="9"/>
  <c r="D167" i="9"/>
  <c r="C167" i="9"/>
  <c r="B167" i="9"/>
  <c r="D166" i="9"/>
  <c r="C166" i="9"/>
  <c r="B166" i="9"/>
  <c r="D165" i="9"/>
  <c r="C165" i="9"/>
  <c r="B165" i="9"/>
  <c r="D164" i="9"/>
  <c r="C164" i="9"/>
  <c r="B164" i="9"/>
  <c r="D163" i="9"/>
  <c r="C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B152" i="9"/>
  <c r="D151" i="9"/>
  <c r="B151" i="9"/>
  <c r="D150" i="9"/>
  <c r="B150" i="9"/>
  <c r="D149" i="9"/>
  <c r="C149" i="9"/>
  <c r="B149" i="9"/>
  <c r="D148" i="9"/>
  <c r="C148" i="9"/>
  <c r="B148" i="9"/>
  <c r="D147" i="9"/>
  <c r="C147" i="9"/>
  <c r="B147" i="9"/>
  <c r="D146" i="9"/>
  <c r="C146" i="9"/>
  <c r="B146" i="9"/>
  <c r="D145" i="9"/>
  <c r="C145" i="9"/>
  <c r="B145" i="9"/>
  <c r="D144" i="9"/>
  <c r="C144" i="9"/>
  <c r="B144" i="9"/>
  <c r="D143" i="9"/>
  <c r="C143" i="9"/>
  <c r="B143" i="9"/>
  <c r="D142" i="9"/>
  <c r="B142" i="9"/>
  <c r="D141" i="9"/>
  <c r="C141" i="9"/>
  <c r="B141" i="9"/>
  <c r="D140" i="9"/>
  <c r="C140" i="9"/>
  <c r="B140" i="9"/>
  <c r="D139" i="9"/>
  <c r="B139" i="9"/>
  <c r="D138" i="9"/>
  <c r="B138" i="9"/>
  <c r="D137" i="9"/>
  <c r="B137" i="9"/>
  <c r="D136" i="9"/>
  <c r="B136" i="9"/>
  <c r="D135" i="9"/>
  <c r="C135" i="9"/>
  <c r="B135" i="9"/>
  <c r="D134" i="9"/>
  <c r="B134" i="9"/>
  <c r="D133" i="9"/>
  <c r="B133" i="9"/>
  <c r="D132" i="9"/>
  <c r="B132" i="9"/>
  <c r="D131" i="9"/>
  <c r="B131" i="9"/>
  <c r="D130" i="9"/>
  <c r="C130" i="9"/>
  <c r="B130" i="9"/>
  <c r="D129" i="9"/>
  <c r="C129" i="9"/>
  <c r="B129" i="9"/>
  <c r="D128" i="9"/>
  <c r="C128" i="9"/>
  <c r="B128" i="9"/>
  <c r="D127" i="9"/>
  <c r="C127" i="9"/>
  <c r="B127" i="9"/>
  <c r="D126" i="9"/>
  <c r="C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B114" i="9"/>
  <c r="D113" i="9"/>
  <c r="B113" i="9"/>
  <c r="D112" i="9"/>
  <c r="C112" i="9"/>
  <c r="B112" i="9"/>
  <c r="D111" i="9"/>
  <c r="C111" i="9"/>
  <c r="B111" i="9"/>
  <c r="D110" i="9"/>
  <c r="C110" i="9"/>
  <c r="B110" i="9"/>
  <c r="D109" i="9"/>
  <c r="C109" i="9"/>
  <c r="B109" i="9"/>
  <c r="D108" i="9"/>
  <c r="C108" i="9"/>
  <c r="B108" i="9"/>
  <c r="D107" i="9"/>
  <c r="C107" i="9"/>
  <c r="B107" i="9"/>
  <c r="D106" i="9"/>
  <c r="C106" i="9"/>
  <c r="B106" i="9"/>
  <c r="D105" i="9"/>
  <c r="C105" i="9"/>
  <c r="B105" i="9"/>
  <c r="D104" i="9"/>
  <c r="C104" i="9"/>
  <c r="B104" i="9"/>
  <c r="D103" i="9"/>
  <c r="C103" i="9"/>
  <c r="B103" i="9"/>
  <c r="D102" i="9"/>
  <c r="C102" i="9"/>
  <c r="B102" i="9"/>
  <c r="D101" i="9"/>
  <c r="C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B91" i="9"/>
  <c r="D90" i="9"/>
  <c r="B90" i="9"/>
  <c r="D89" i="9"/>
  <c r="B89" i="9"/>
  <c r="D87" i="9"/>
  <c r="C87" i="9"/>
  <c r="B87" i="9"/>
  <c r="D86" i="9"/>
  <c r="C86" i="9"/>
  <c r="B86" i="9"/>
  <c r="D85" i="9"/>
  <c r="B85" i="9"/>
  <c r="D84" i="9"/>
  <c r="C84" i="9"/>
  <c r="B84" i="9"/>
  <c r="D83" i="9"/>
  <c r="C83" i="9"/>
  <c r="B83" i="9"/>
  <c r="D82" i="9"/>
  <c r="C82" i="9"/>
  <c r="B82" i="9"/>
  <c r="D81" i="9"/>
  <c r="C81" i="9"/>
  <c r="B81" i="9"/>
  <c r="D80" i="9"/>
  <c r="C80" i="9"/>
  <c r="B80" i="9"/>
  <c r="D79" i="9"/>
  <c r="B79" i="9"/>
  <c r="D78" i="9"/>
  <c r="B78" i="9"/>
  <c r="D77" i="9"/>
  <c r="B77" i="9"/>
  <c r="D76" i="9"/>
  <c r="B76" i="9"/>
  <c r="D75" i="9"/>
  <c r="C75" i="9"/>
  <c r="B75" i="9"/>
  <c r="D73" i="9"/>
  <c r="B73" i="9"/>
  <c r="D71" i="9"/>
  <c r="C71" i="9"/>
  <c r="B71" i="9"/>
  <c r="D70" i="9"/>
  <c r="C70" i="9"/>
  <c r="B70" i="9"/>
  <c r="D69" i="9"/>
  <c r="C69" i="9"/>
  <c r="B69" i="9"/>
  <c r="D67" i="9"/>
  <c r="C67" i="9"/>
  <c r="B67" i="9"/>
  <c r="D65" i="9"/>
  <c r="C65" i="9"/>
  <c r="B65" i="9"/>
  <c r="D64" i="9"/>
  <c r="C64" i="9"/>
  <c r="B64" i="9"/>
  <c r="D63" i="9"/>
  <c r="C63" i="9"/>
  <c r="B63" i="9"/>
  <c r="D62" i="9"/>
  <c r="C62" i="9"/>
  <c r="B62" i="9"/>
  <c r="D61" i="9"/>
  <c r="C61" i="9"/>
  <c r="B61" i="9"/>
  <c r="D59" i="9"/>
  <c r="B59" i="9"/>
  <c r="D58" i="9"/>
  <c r="B58" i="9"/>
  <c r="D57" i="9"/>
  <c r="C57" i="9"/>
  <c r="B57" i="9"/>
  <c r="D56" i="9"/>
  <c r="C56" i="9"/>
  <c r="B56" i="9"/>
  <c r="D55" i="9"/>
  <c r="C55" i="9"/>
  <c r="B55" i="9"/>
  <c r="D54" i="9"/>
  <c r="C54" i="9"/>
  <c r="B54"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43" i="9"/>
  <c r="B43" i="9"/>
  <c r="D42" i="9"/>
  <c r="B42" i="9"/>
  <c r="D41" i="9"/>
  <c r="B41" i="9"/>
  <c r="D40" i="9"/>
  <c r="B40" i="9"/>
  <c r="D39" i="9"/>
  <c r="C39" i="9"/>
  <c r="B39" i="9"/>
  <c r="D38" i="9"/>
  <c r="C38" i="9"/>
  <c r="B38" i="9"/>
  <c r="D37" i="9"/>
  <c r="C37" i="9"/>
  <c r="B37" i="9"/>
  <c r="D36" i="9"/>
  <c r="C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7" i="2"/>
  <c r="S18" i="2"/>
  <c r="S19" i="2"/>
  <c r="S21" i="2"/>
  <c r="S22" i="2"/>
  <c r="S23" i="2"/>
  <c r="S24" i="2"/>
  <c r="S25" i="2"/>
  <c r="P32" i="2"/>
  <c r="Q32" i="2"/>
  <c r="R32" i="2"/>
  <c r="S33" i="2"/>
  <c r="S34" i="2"/>
  <c r="S35" i="2"/>
  <c r="P37" i="2"/>
  <c r="Q37" i="2"/>
  <c r="R37" i="2"/>
  <c r="S38" i="2"/>
  <c r="S37" i="2" s="1"/>
  <c r="Q45" i="2"/>
  <c r="R45" i="2"/>
  <c r="S46" i="2"/>
  <c r="S47" i="2"/>
  <c r="S49" i="2"/>
  <c r="S50" i="2"/>
  <c r="S51" i="2"/>
  <c r="S52" i="2"/>
  <c r="S53" i="2"/>
  <c r="S55" i="2"/>
  <c r="S56" i="2"/>
  <c r="P58" i="2"/>
  <c r="S62" i="2"/>
  <c r="S63" i="2"/>
  <c r="S64" i="2"/>
  <c r="P65" i="2"/>
  <c r="P66" i="2"/>
  <c r="H65" i="10" s="1"/>
  <c r="Q68" i="2"/>
  <c r="R68" i="2"/>
  <c r="S70" i="2"/>
  <c r="S71" i="2"/>
  <c r="S72" i="2"/>
  <c r="P73" i="2"/>
  <c r="Q74" i="2"/>
  <c r="R74" i="2"/>
  <c r="S74" i="2"/>
  <c r="P79" i="2"/>
  <c r="S80" i="2"/>
  <c r="S83" i="2"/>
  <c r="S86" i="2"/>
  <c r="P89" i="2"/>
  <c r="P90" i="2"/>
  <c r="P93" i="2"/>
  <c r="Q93" i="2"/>
  <c r="R93" i="2"/>
  <c r="S94" i="2"/>
  <c r="S95" i="2"/>
  <c r="S96" i="2"/>
  <c r="S97" i="2"/>
  <c r="S98" i="2"/>
  <c r="S99" i="2"/>
  <c r="S100" i="2"/>
  <c r="S102" i="2"/>
  <c r="S103" i="2"/>
  <c r="S104" i="2"/>
  <c r="P105" i="2"/>
  <c r="Q105" i="2"/>
  <c r="R105" i="2"/>
  <c r="S106" i="2"/>
  <c r="S107" i="2"/>
  <c r="P108" i="2"/>
  <c r="Q108" i="2"/>
  <c r="R108" i="2"/>
  <c r="S109" i="2"/>
  <c r="K107" i="10" s="1"/>
  <c r="S110" i="2"/>
  <c r="S111" i="2"/>
  <c r="S112" i="2"/>
  <c r="S113" i="2"/>
  <c r="S114" i="2"/>
  <c r="P116" i="2"/>
  <c r="Q116" i="2"/>
  <c r="W116" i="2" s="1"/>
  <c r="R116" i="2"/>
  <c r="S117" i="2"/>
  <c r="S118" i="2"/>
  <c r="K115" i="10" s="1"/>
  <c r="S119" i="2"/>
  <c r="S120" i="2"/>
  <c r="S121" i="2"/>
  <c r="S122" i="2"/>
  <c r="S123" i="2"/>
  <c r="K120" i="10" s="1"/>
  <c r="S124" i="2"/>
  <c r="S125" i="2"/>
  <c r="K122" i="10" s="1"/>
  <c r="S126" i="2"/>
  <c r="S128" i="2"/>
  <c r="P131" i="2"/>
  <c r="Q131" i="2"/>
  <c r="R131" i="2"/>
  <c r="S132" i="2"/>
  <c r="S131" i="2" s="1"/>
  <c r="P136" i="2"/>
  <c r="Q136" i="2"/>
  <c r="R136" i="2"/>
  <c r="S137" i="2"/>
  <c r="S136" i="2" s="1"/>
  <c r="P141" i="2"/>
  <c r="Q141" i="2"/>
  <c r="R141" i="2"/>
  <c r="S142" i="2"/>
  <c r="S143" i="2"/>
  <c r="P144" i="2"/>
  <c r="Q144" i="2"/>
  <c r="R144" i="2"/>
  <c r="S146" i="2"/>
  <c r="S147" i="2"/>
  <c r="P149" i="2"/>
  <c r="Q149" i="2"/>
  <c r="R149" i="2"/>
  <c r="S150" i="2"/>
  <c r="S151" i="2"/>
  <c r="P154" i="2"/>
  <c r="Q154" i="2"/>
  <c r="R154" i="2"/>
  <c r="S155" i="2"/>
  <c r="S156" i="2"/>
  <c r="S157" i="2"/>
  <c r="S158" i="2"/>
  <c r="S159" i="2"/>
  <c r="S160" i="2"/>
  <c r="S161" i="2"/>
  <c r="S162" i="2"/>
  <c r="S163" i="2"/>
  <c r="P164" i="2"/>
  <c r="Q164" i="2"/>
  <c r="R164" i="2"/>
  <c r="S165" i="2"/>
  <c r="S166" i="2"/>
  <c r="S167" i="2"/>
  <c r="S168" i="2"/>
  <c r="S169" i="2"/>
  <c r="S170" i="2"/>
  <c r="P172" i="2"/>
  <c r="Q172" i="2"/>
  <c r="R172" i="2"/>
  <c r="S173" i="2"/>
  <c r="S174" i="2"/>
  <c r="S175" i="2"/>
  <c r="S176" i="2"/>
  <c r="S177" i="2"/>
  <c r="S178" i="2"/>
  <c r="S179" i="2"/>
  <c r="P181" i="2"/>
  <c r="Q181" i="2"/>
  <c r="R181" i="2"/>
  <c r="S183" i="2"/>
  <c r="S184" i="2"/>
  <c r="S185" i="2"/>
  <c r="P186" i="2"/>
  <c r="R186" i="2"/>
  <c r="S187" i="2"/>
  <c r="S189" i="2"/>
  <c r="S192" i="2"/>
  <c r="P194" i="2"/>
  <c r="Q194" i="2"/>
  <c r="R194" i="2"/>
  <c r="S195" i="2"/>
  <c r="S196" i="2"/>
  <c r="S197" i="2"/>
  <c r="S198" i="2"/>
  <c r="S199" i="2"/>
  <c r="S204" i="2"/>
  <c r="S206" i="2"/>
  <c r="S207" i="2"/>
  <c r="S208" i="2"/>
  <c r="P202" i="2"/>
  <c r="S12" i="2" l="1"/>
  <c r="P60" i="2"/>
  <c r="S60" i="2"/>
  <c r="S79" i="2"/>
  <c r="S202" i="2"/>
  <c r="S141" i="2"/>
  <c r="S32" i="2"/>
  <c r="S186" i="2"/>
  <c r="S164" i="2"/>
  <c r="S154" i="2"/>
  <c r="S116" i="2"/>
  <c r="S93" i="2"/>
  <c r="P74" i="2"/>
  <c r="S194" i="2"/>
  <c r="S172" i="2"/>
  <c r="S149" i="2"/>
  <c r="S144" i="2"/>
  <c r="S105" i="2"/>
  <c r="S181" i="2"/>
  <c r="S108" i="2"/>
  <c r="S68" i="2"/>
  <c r="P68" i="2" s="1"/>
  <c r="S45" i="2"/>
  <c r="P45"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4" i="10" l="1"/>
  <c r="M84" i="10"/>
  <c r="N84" i="10"/>
  <c r="O84" i="10"/>
  <c r="P84" i="10"/>
  <c r="K60" i="14" s="1"/>
  <c r="Q84" i="10"/>
  <c r="L60" i="14" s="1"/>
  <c r="R84" i="10"/>
  <c r="S84" i="10"/>
  <c r="M60" i="14" s="1"/>
  <c r="L42" i="14"/>
  <c r="S206" i="10" l="1"/>
  <c r="S205" i="10"/>
  <c r="S203" i="10"/>
  <c r="S202" i="10"/>
  <c r="S198" i="10"/>
  <c r="S196" i="10"/>
  <c r="S195" i="10"/>
  <c r="O194" i="10"/>
  <c r="S190" i="10"/>
  <c r="S189" i="10"/>
  <c r="S188" i="10"/>
  <c r="S187" i="10"/>
  <c r="S185" i="10"/>
  <c r="S172" i="10"/>
  <c r="S166" i="10"/>
  <c r="S165" i="10"/>
  <c r="S164" i="10"/>
  <c r="S163" i="10"/>
  <c r="S161" i="10"/>
  <c r="S157" i="10"/>
  <c r="S148" i="10"/>
  <c r="S145" i="10"/>
  <c r="O143" i="10"/>
  <c r="L138" i="10"/>
  <c r="M138" i="10"/>
  <c r="N138" i="10"/>
  <c r="P138" i="10"/>
  <c r="K108" i="14" s="1"/>
  <c r="Q138" i="10"/>
  <c r="R138" i="10"/>
  <c r="E141" i="10"/>
  <c r="O140" i="10"/>
  <c r="O138" i="10" s="1"/>
  <c r="M113" i="10"/>
  <c r="N113" i="10"/>
  <c r="Q113" i="10"/>
  <c r="L82" i="14" s="1"/>
  <c r="R113" i="10"/>
  <c r="L122" i="10"/>
  <c r="O121" i="10"/>
  <c r="O115" i="10"/>
  <c r="O113" i="10" s="1"/>
  <c r="S109" i="10"/>
  <c r="L108" i="14" l="1"/>
  <c r="C75" i="11"/>
  <c r="D75" i="11"/>
  <c r="B75" i="11"/>
  <c r="S101" i="10"/>
  <c r="S97" i="10"/>
  <c r="S94" i="10"/>
  <c r="I87" i="10"/>
  <c r="J87" i="10"/>
  <c r="K87" i="10"/>
  <c r="I88" i="10"/>
  <c r="J88" i="10"/>
  <c r="K88" i="10"/>
  <c r="J86" i="10"/>
  <c r="I86" i="10"/>
  <c r="H86" i="10"/>
  <c r="B86" i="10"/>
  <c r="C86" i="10"/>
  <c r="D86" i="10"/>
  <c r="E86" i="10"/>
  <c r="F86" i="10"/>
  <c r="B87" i="10"/>
  <c r="C87" i="10"/>
  <c r="D87" i="10"/>
  <c r="E87" i="10"/>
  <c r="F87" i="10"/>
  <c r="B88" i="10"/>
  <c r="C88" i="10"/>
  <c r="D88" i="10"/>
  <c r="E88" i="10"/>
  <c r="F88" i="10"/>
  <c r="O82" i="10"/>
  <c r="K74" i="10"/>
  <c r="I74" i="10"/>
  <c r="H74" i="10"/>
  <c r="H73" i="10" s="1"/>
  <c r="C74" i="10"/>
  <c r="D74" i="10"/>
  <c r="E74" i="10"/>
  <c r="B74" i="10"/>
  <c r="B64" i="10"/>
  <c r="C64" i="10"/>
  <c r="D64" i="10"/>
  <c r="E64" i="10"/>
  <c r="I64" i="10"/>
  <c r="J64" i="10"/>
  <c r="K64" i="10"/>
  <c r="K42" i="14"/>
  <c r="S62" i="10"/>
  <c r="O52" i="10"/>
  <c r="S50" i="10"/>
  <c r="S46" i="10"/>
  <c r="O46" i="10"/>
  <c r="V33" i="10"/>
  <c r="V32" i="10"/>
  <c r="B161" i="11"/>
  <c r="C161" i="11"/>
  <c r="D161" i="11"/>
  <c r="L152" i="10"/>
  <c r="M152" i="10"/>
  <c r="N152" i="10"/>
  <c r="Q152" i="10"/>
  <c r="R152" i="10"/>
  <c r="B161" i="10"/>
  <c r="C161" i="10"/>
  <c r="D161" i="10"/>
  <c r="E161" i="10"/>
  <c r="H161" i="10"/>
  <c r="I161" i="10"/>
  <c r="J161" i="10"/>
  <c r="B141" i="11"/>
  <c r="C141" i="11"/>
  <c r="D141" i="11"/>
  <c r="B87" i="11"/>
  <c r="C87" i="11"/>
  <c r="D87" i="11"/>
  <c r="B88" i="11"/>
  <c r="C88" i="11"/>
  <c r="D88" i="11"/>
  <c r="G64" i="11"/>
  <c r="H64" i="11"/>
  <c r="I64" i="11"/>
  <c r="G65" i="11"/>
  <c r="H65" i="11"/>
  <c r="I65" i="11"/>
  <c r="B65" i="11"/>
  <c r="C65" i="11"/>
  <c r="D65" i="11"/>
  <c r="B64" i="11"/>
  <c r="C64" i="11"/>
  <c r="D64" i="11"/>
  <c r="I73" i="10" l="1"/>
  <c r="I48" i="14" s="1"/>
  <c r="K73" i="10"/>
  <c r="J48" i="14" s="1"/>
  <c r="J84" i="10"/>
  <c r="F61" i="14"/>
  <c r="L125" i="14"/>
  <c r="I84" i="10"/>
  <c r="I60" i="14" s="1"/>
  <c r="H48" i="14"/>
  <c r="P24" i="10" l="1"/>
  <c r="H141" i="10" l="1"/>
  <c r="I141" i="10"/>
  <c r="J141" i="10"/>
  <c r="D141" i="10"/>
  <c r="C141" i="10"/>
  <c r="B141" i="10"/>
  <c r="K161" i="10"/>
  <c r="K141" i="10"/>
  <c r="H88" i="10"/>
  <c r="H87" i="10"/>
  <c r="H64" i="10"/>
  <c r="H84" i="10" l="1"/>
  <c r="H60" i="14" s="1"/>
  <c r="K86" i="10"/>
  <c r="K84" i="10" s="1"/>
  <c r="J60" i="14" s="1"/>
  <c r="S204" i="10"/>
  <c r="S194" i="10" l="1"/>
  <c r="B185" i="10"/>
  <c r="S183" i="10"/>
  <c r="S181" i="10"/>
  <c r="S176" i="10"/>
  <c r="S175" i="10"/>
  <c r="S174" i="10"/>
  <c r="S171" i="10"/>
  <c r="S168" i="10"/>
  <c r="S167" i="10"/>
  <c r="S160" i="10"/>
  <c r="S159" i="10"/>
  <c r="S156" i="10"/>
  <c r="S155" i="10"/>
  <c r="S153" i="10"/>
  <c r="S149" i="10"/>
  <c r="S152" i="10" l="1"/>
  <c r="M125" i="14" s="1"/>
  <c r="S140" i="10"/>
  <c r="S138" i="10" s="1"/>
  <c r="M108" i="14" s="1"/>
  <c r="S119" i="10"/>
  <c r="S112" i="10"/>
  <c r="S111" i="10"/>
  <c r="S110" i="10"/>
  <c r="S108" i="10"/>
  <c r="S107" i="10"/>
  <c r="S113" i="10" l="1"/>
  <c r="M82" i="14" s="1"/>
  <c r="O99" i="10"/>
  <c r="S102" i="10"/>
  <c r="S100" i="10"/>
  <c r="S96" i="10"/>
  <c r="S95" i="10"/>
  <c r="S93" i="10"/>
  <c r="S92" i="10"/>
  <c r="S82" i="10"/>
  <c r="S81" i="10"/>
  <c r="S80" i="10"/>
  <c r="S79" i="10"/>
  <c r="S61" i="10"/>
  <c r="S59" i="10" l="1"/>
  <c r="M42" i="14" s="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S170" i="10"/>
  <c r="M132" i="14" s="1"/>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106" i="10"/>
  <c r="M106" i="10"/>
  <c r="N106" i="10"/>
  <c r="Q106" i="10"/>
  <c r="L80" i="14" s="1"/>
  <c r="R106" i="10"/>
  <c r="L103" i="10"/>
  <c r="M103" i="10"/>
  <c r="N103" i="10"/>
  <c r="Q103" i="10"/>
  <c r="L77" i="14" s="1"/>
  <c r="R103" i="10"/>
  <c r="S103" i="10"/>
  <c r="M77" i="14" s="1"/>
  <c r="M91" i="10"/>
  <c r="N91" i="10"/>
  <c r="Q91" i="10"/>
  <c r="L69" i="14" s="1"/>
  <c r="R91" i="10"/>
  <c r="L78" i="10"/>
  <c r="M78" i="10"/>
  <c r="N78" i="10"/>
  <c r="O78" i="10"/>
  <c r="Q78" i="10"/>
  <c r="L55" i="14" s="1"/>
  <c r="R78" i="10"/>
  <c r="S78" i="10"/>
  <c r="M55" i="14" s="1"/>
  <c r="L73" i="10"/>
  <c r="M73" i="10"/>
  <c r="N73" i="10"/>
  <c r="O73" i="10"/>
  <c r="P73" i="10"/>
  <c r="K48" i="14" s="1"/>
  <c r="Q73" i="10"/>
  <c r="L48" i="14" s="1"/>
  <c r="R73" i="10"/>
  <c r="S73" i="10"/>
  <c r="M48" i="14" s="1"/>
  <c r="P67" i="10"/>
  <c r="K45" i="14" s="1"/>
  <c r="Q67" i="10"/>
  <c r="L45" i="14" s="1"/>
  <c r="R67" i="10"/>
  <c r="S67" i="10"/>
  <c r="M45" i="14" s="1"/>
  <c r="Q44" i="10"/>
  <c r="L36" i="14" s="1"/>
  <c r="R44" i="10"/>
  <c r="S44" i="10"/>
  <c r="M36" i="14" s="1"/>
  <c r="L36" i="10"/>
  <c r="M36" i="10"/>
  <c r="N36" i="10"/>
  <c r="O36" i="10"/>
  <c r="P36" i="10"/>
  <c r="K22" i="14" s="1"/>
  <c r="Q36" i="10"/>
  <c r="R36" i="10"/>
  <c r="S36" i="10"/>
  <c r="M22" i="14" s="1"/>
  <c r="L31" i="10"/>
  <c r="M31" i="10"/>
  <c r="N31" i="10"/>
  <c r="O31" i="10"/>
  <c r="Q31" i="10"/>
  <c r="L17" i="14" s="1"/>
  <c r="R31" i="10"/>
  <c r="S31" i="10"/>
  <c r="M17" i="14" s="1"/>
  <c r="L22" i="14" l="1"/>
  <c r="L145" i="14"/>
  <c r="L132" i="14"/>
  <c r="L128" i="14"/>
  <c r="L113" i="14"/>
  <c r="L141" i="14"/>
  <c r="L118" i="14"/>
  <c r="L137" i="14"/>
  <c r="L149" i="14"/>
  <c r="V31" i="10"/>
  <c r="H155" i="10"/>
  <c r="L120" i="10" l="1"/>
  <c r="L113" i="10" s="1"/>
  <c r="L102" i="10"/>
  <c r="L100" i="10"/>
  <c r="L91" i="10" s="1"/>
  <c r="P33" i="10"/>
  <c r="P31" i="10" s="1"/>
  <c r="K17" i="14" s="1"/>
  <c r="B140" i="10"/>
  <c r="C140" i="10"/>
  <c r="D140" i="10"/>
  <c r="E140" i="10"/>
  <c r="H140" i="10"/>
  <c r="H138" i="10" s="1"/>
  <c r="H108" i="14" s="1"/>
  <c r="I140" i="10"/>
  <c r="I138" i="10" s="1"/>
  <c r="J140" i="10"/>
  <c r="J138" i="10" s="1"/>
  <c r="V140" i="10"/>
  <c r="P158" i="10"/>
  <c r="P152" i="10" s="1"/>
  <c r="K125" i="14" s="1"/>
  <c r="P182" i="10"/>
  <c r="I108" i="14" l="1"/>
  <c r="P170" i="10"/>
  <c r="K132" i="14" s="1"/>
  <c r="P192" i="10"/>
  <c r="K145" i="14" s="1"/>
  <c r="P179" i="10"/>
  <c r="K137" i="14" s="1"/>
  <c r="P162" i="10"/>
  <c r="K128" i="14" s="1"/>
  <c r="P200" i="10"/>
  <c r="K149" i="14" s="1"/>
  <c r="P184" i="10"/>
  <c r="K141" i="14" s="1"/>
  <c r="P147" i="10"/>
  <c r="K118" i="14" s="1"/>
  <c r="P105" i="10"/>
  <c r="P103" i="10" s="1"/>
  <c r="K77" i="14" s="1"/>
  <c r="P78" i="10" l="1"/>
  <c r="K55" i="14" s="1"/>
  <c r="P49" i="10"/>
  <c r="P47" i="10"/>
  <c r="P25" i="10"/>
  <c r="L25" i="10"/>
  <c r="L12" i="10" s="1"/>
  <c r="P21" i="10"/>
  <c r="P22" i="10"/>
  <c r="P26" i="10"/>
  <c r="P44"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2" i="11"/>
  <c r="C112" i="11"/>
  <c r="B112" i="11"/>
  <c r="D111" i="11"/>
  <c r="C111" i="11"/>
  <c r="B111" i="11"/>
  <c r="D110" i="11"/>
  <c r="C110" i="11"/>
  <c r="B110" i="11"/>
  <c r="D109" i="11"/>
  <c r="C109" i="11"/>
  <c r="B109" i="11"/>
  <c r="D108" i="11"/>
  <c r="C108" i="11"/>
  <c r="B108" i="11"/>
  <c r="F81" i="14"/>
  <c r="D107" i="11"/>
  <c r="C107" i="11"/>
  <c r="B107" i="11"/>
  <c r="D106" i="11"/>
  <c r="B106" i="11"/>
  <c r="F78" i="14"/>
  <c r="D105" i="11"/>
  <c r="C105" i="11"/>
  <c r="B105" i="11"/>
  <c r="F79" i="14"/>
  <c r="D104" i="11"/>
  <c r="C104" i="11"/>
  <c r="B104" i="11"/>
  <c r="D103" i="11"/>
  <c r="B103" i="11"/>
  <c r="F72" i="14"/>
  <c r="D92" i="11"/>
  <c r="C92" i="11"/>
  <c r="B92" i="11"/>
  <c r="D91" i="11"/>
  <c r="B91" i="11"/>
  <c r="D90" i="11"/>
  <c r="B90" i="11"/>
  <c r="D89" i="11"/>
  <c r="B89" i="11"/>
  <c r="D86" i="11"/>
  <c r="C86" i="11"/>
  <c r="B86" i="11"/>
  <c r="D85" i="11"/>
  <c r="B85" i="11"/>
  <c r="D84" i="11"/>
  <c r="B84" i="11"/>
  <c r="N83" i="11"/>
  <c r="M83" i="11"/>
  <c r="L83" i="11"/>
  <c r="I83" i="11"/>
  <c r="H83" i="11"/>
  <c r="G83" i="11"/>
  <c r="D83" i="11"/>
  <c r="C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D79" i="11"/>
  <c r="B79" i="11"/>
  <c r="D78" i="11"/>
  <c r="B78" i="11"/>
  <c r="D77" i="11"/>
  <c r="B77" i="11"/>
  <c r="D76" i="11"/>
  <c r="B76" i="11"/>
  <c r="I75" i="11"/>
  <c r="F49" i="14" s="1"/>
  <c r="H75" i="11"/>
  <c r="G75" i="11"/>
  <c r="D73" i="11"/>
  <c r="B73" i="11"/>
  <c r="I72" i="11"/>
  <c r="H72" i="11"/>
  <c r="G72" i="11"/>
  <c r="D72" i="11"/>
  <c r="C72" i="11"/>
  <c r="B72" i="11"/>
  <c r="I71" i="11"/>
  <c r="H71" i="11"/>
  <c r="G71" i="11"/>
  <c r="D71" i="11"/>
  <c r="C71" i="11"/>
  <c r="B71" i="11"/>
  <c r="I70" i="11"/>
  <c r="F47" i="14" s="1"/>
  <c r="H70" i="11"/>
  <c r="G70" i="11"/>
  <c r="D70" i="11"/>
  <c r="C70" i="11"/>
  <c r="B70" i="11"/>
  <c r="I69" i="11"/>
  <c r="F46" i="14" s="1"/>
  <c r="H69" i="11"/>
  <c r="G69" i="11"/>
  <c r="D69" i="11"/>
  <c r="C69" i="11"/>
  <c r="B69" i="11"/>
  <c r="D67" i="11"/>
  <c r="B67" i="11"/>
  <c r="I63" i="11"/>
  <c r="H63" i="11"/>
  <c r="G63" i="11"/>
  <c r="D63" i="11"/>
  <c r="C63" i="11"/>
  <c r="B63" i="11"/>
  <c r="I62" i="11"/>
  <c r="H62" i="11"/>
  <c r="G62" i="11"/>
  <c r="D62" i="11"/>
  <c r="C62" i="11"/>
  <c r="B62" i="11"/>
  <c r="N61" i="11"/>
  <c r="M61" i="11"/>
  <c r="L61" i="11"/>
  <c r="I61" i="11"/>
  <c r="H61" i="11"/>
  <c r="G61" i="11"/>
  <c r="D61" i="11"/>
  <c r="C61" i="11"/>
  <c r="B61" i="11"/>
  <c r="D59" i="11"/>
  <c r="B59" i="11"/>
  <c r="D58" i="11"/>
  <c r="B58" i="11"/>
  <c r="I57" i="11"/>
  <c r="H57" i="11"/>
  <c r="G57" i="11"/>
  <c r="D57" i="11"/>
  <c r="C57" i="11"/>
  <c r="B57" i="11"/>
  <c r="I56" i="11"/>
  <c r="H56" i="11"/>
  <c r="G56" i="11"/>
  <c r="D56" i="11"/>
  <c r="C56" i="11"/>
  <c r="B56" i="11"/>
  <c r="I55" i="11"/>
  <c r="H55" i="11"/>
  <c r="G55" i="11"/>
  <c r="D55" i="11"/>
  <c r="C55" i="11"/>
  <c r="B55" i="11"/>
  <c r="I54" i="11"/>
  <c r="H54" i="11"/>
  <c r="G54" i="11"/>
  <c r="D54" i="11"/>
  <c r="C54" i="11"/>
  <c r="B54" i="11"/>
  <c r="N53" i="11"/>
  <c r="M53" i="11"/>
  <c r="L53" i="11"/>
  <c r="I53" i="11"/>
  <c r="H53" i="11"/>
  <c r="G53" i="11"/>
  <c r="D53" i="11"/>
  <c r="C53" i="11"/>
  <c r="B53"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N48" i="11"/>
  <c r="M48" i="11"/>
  <c r="L48" i="11"/>
  <c r="I48" i="11"/>
  <c r="H48" i="11"/>
  <c r="G48" i="11"/>
  <c r="D48" i="11"/>
  <c r="C48" i="11"/>
  <c r="B48" i="11"/>
  <c r="S47" i="11"/>
  <c r="R47" i="11"/>
  <c r="Q47" i="11"/>
  <c r="N47" i="11"/>
  <c r="M47" i="11"/>
  <c r="L47" i="11"/>
  <c r="I47" i="11"/>
  <c r="H47" i="11"/>
  <c r="G47" i="11"/>
  <c r="D47" i="11"/>
  <c r="C47" i="11"/>
  <c r="B47" i="11"/>
  <c r="I46" i="11"/>
  <c r="H46" i="11"/>
  <c r="G46" i="11"/>
  <c r="D46" i="11"/>
  <c r="C46" i="11"/>
  <c r="B46" i="11"/>
  <c r="I45" i="11"/>
  <c r="H45" i="11"/>
  <c r="G45" i="11"/>
  <c r="D45" i="11"/>
  <c r="C45" i="11"/>
  <c r="B45" i="11"/>
  <c r="D44" i="11"/>
  <c r="B44" i="11"/>
  <c r="D43" i="11"/>
  <c r="B43" i="11"/>
  <c r="D42" i="11"/>
  <c r="B42" i="11"/>
  <c r="D41" i="11"/>
  <c r="B41" i="11"/>
  <c r="D39" i="11"/>
  <c r="B39" i="11"/>
  <c r="D38" i="11"/>
  <c r="B38" i="11"/>
  <c r="N37" i="11"/>
  <c r="F24" i="14" s="1"/>
  <c r="M37" i="11"/>
  <c r="L37" i="11"/>
  <c r="I37" i="11"/>
  <c r="F23" i="14" s="1"/>
  <c r="H37" i="11"/>
  <c r="G37" i="11"/>
  <c r="D37" i="11"/>
  <c r="C37" i="11"/>
  <c r="B37" i="11"/>
  <c r="D36" i="11"/>
  <c r="B36" i="11"/>
  <c r="D35" i="11"/>
  <c r="B35" i="11"/>
  <c r="I34" i="11"/>
  <c r="H34" i="11"/>
  <c r="G34" i="11"/>
  <c r="D34" i="11"/>
  <c r="C34" i="11"/>
  <c r="B34" i="11"/>
  <c r="N33" i="11"/>
  <c r="F19" i="14" s="1"/>
  <c r="M33" i="11"/>
  <c r="L33" i="11"/>
  <c r="I33" i="11"/>
  <c r="H33" i="11"/>
  <c r="G33" i="11"/>
  <c r="D33" i="11"/>
  <c r="C33" i="11"/>
  <c r="B33" i="11"/>
  <c r="I32" i="11"/>
  <c r="H32" i="11"/>
  <c r="G32" i="11"/>
  <c r="D32" i="11"/>
  <c r="C32" i="11"/>
  <c r="B32" i="11"/>
  <c r="D31" i="11"/>
  <c r="B31"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H200" i="10" s="1"/>
  <c r="H149" i="14" s="1"/>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I184" i="10" s="1"/>
  <c r="H185" i="10"/>
  <c r="H184" i="10" s="1"/>
  <c r="H141" i="14" s="1"/>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J179" i="10" s="1"/>
  <c r="I180" i="10"/>
  <c r="I179" i="10" s="1"/>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J170" i="10" s="1"/>
  <c r="I171" i="10"/>
  <c r="I170" i="10" s="1"/>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J162" i="10" s="1"/>
  <c r="I163" i="10"/>
  <c r="I162" i="10" s="1"/>
  <c r="H163" i="10"/>
  <c r="H162" i="10" s="1"/>
  <c r="H128" i="14" s="1"/>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J147" i="10" s="1"/>
  <c r="I148" i="10"/>
  <c r="H148" i="10"/>
  <c r="H147" i="10" s="1"/>
  <c r="H118" i="14"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I142" i="10" s="1"/>
  <c r="H143" i="10"/>
  <c r="H142" i="10" s="1"/>
  <c r="H113" i="14" s="1"/>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2" i="10"/>
  <c r="J112" i="10"/>
  <c r="I112" i="10"/>
  <c r="H112" i="10"/>
  <c r="E112" i="10"/>
  <c r="D112" i="10"/>
  <c r="C112" i="10"/>
  <c r="B112" i="10"/>
  <c r="O111" i="10"/>
  <c r="O106" i="10" s="1"/>
  <c r="J111" i="10"/>
  <c r="I111" i="10"/>
  <c r="H111" i="10"/>
  <c r="E111" i="10"/>
  <c r="D111" i="10"/>
  <c r="C111" i="10"/>
  <c r="B111" i="10"/>
  <c r="X110" i="10"/>
  <c r="J110" i="10"/>
  <c r="I110" i="10"/>
  <c r="H110" i="10"/>
  <c r="E110" i="10"/>
  <c r="D110" i="10"/>
  <c r="C110" i="10"/>
  <c r="B110" i="10"/>
  <c r="X109" i="10"/>
  <c r="J109" i="10"/>
  <c r="J106" i="10" s="1"/>
  <c r="I109" i="10"/>
  <c r="H109" i="10"/>
  <c r="E109" i="10"/>
  <c r="D109" i="10"/>
  <c r="C109" i="10"/>
  <c r="B109" i="10"/>
  <c r="X108" i="10"/>
  <c r="I108" i="10"/>
  <c r="H108" i="10"/>
  <c r="E108" i="10"/>
  <c r="D108" i="10"/>
  <c r="C108" i="10"/>
  <c r="B108" i="10"/>
  <c r="X107" i="10"/>
  <c r="E107" i="10"/>
  <c r="D107" i="10"/>
  <c r="C107" i="10"/>
  <c r="B107" i="10"/>
  <c r="D106" i="10"/>
  <c r="B106" i="10"/>
  <c r="X105" i="10"/>
  <c r="J105" i="10"/>
  <c r="I105" i="10"/>
  <c r="H105" i="10"/>
  <c r="E105" i="10"/>
  <c r="D105" i="10"/>
  <c r="C105" i="10"/>
  <c r="B105" i="10"/>
  <c r="O104" i="10"/>
  <c r="O103" i="10" s="1"/>
  <c r="J104" i="10"/>
  <c r="J103" i="10" s="1"/>
  <c r="I104" i="10"/>
  <c r="I103" i="10" s="1"/>
  <c r="I77" i="14" s="1"/>
  <c r="H104" i="10"/>
  <c r="E104" i="10"/>
  <c r="D104" i="10"/>
  <c r="C104" i="10"/>
  <c r="B104" i="10"/>
  <c r="D103" i="10"/>
  <c r="B103" i="10"/>
  <c r="X102" i="10"/>
  <c r="J102" i="10"/>
  <c r="I102" i="10"/>
  <c r="H102" i="10"/>
  <c r="E102" i="10"/>
  <c r="D102" i="10"/>
  <c r="C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O97" i="10"/>
  <c r="X97" i="10" s="1"/>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O94" i="10"/>
  <c r="J94" i="10"/>
  <c r="I94" i="10"/>
  <c r="H94" i="10"/>
  <c r="E94" i="10"/>
  <c r="D94" i="10"/>
  <c r="C94" i="10"/>
  <c r="B94" i="10"/>
  <c r="O93" i="10"/>
  <c r="O91" i="10" s="1"/>
  <c r="J93" i="10"/>
  <c r="I93" i="10"/>
  <c r="H93" i="10"/>
  <c r="E93" i="10"/>
  <c r="D93" i="10"/>
  <c r="C93" i="10"/>
  <c r="B93" i="10"/>
  <c r="J92" i="10"/>
  <c r="I92" i="10"/>
  <c r="H92" i="10"/>
  <c r="E92" i="10"/>
  <c r="D92" i="10"/>
  <c r="C92" i="10"/>
  <c r="B92" i="10"/>
  <c r="D91" i="10"/>
  <c r="B91" i="10"/>
  <c r="D90" i="10"/>
  <c r="B90" i="10"/>
  <c r="D89" i="10"/>
  <c r="B89" i="10"/>
  <c r="D84" i="10"/>
  <c r="B84" i="10"/>
  <c r="D83" i="10"/>
  <c r="B83" i="10"/>
  <c r="J82" i="10"/>
  <c r="I82" i="10"/>
  <c r="H82" i="10"/>
  <c r="E82" i="10"/>
  <c r="D82" i="10"/>
  <c r="C82" i="10"/>
  <c r="B82" i="10"/>
  <c r="J81" i="10"/>
  <c r="I81" i="10"/>
  <c r="H81" i="10"/>
  <c r="E81" i="10"/>
  <c r="D81" i="10"/>
  <c r="C81" i="10"/>
  <c r="B81" i="10"/>
  <c r="J80" i="10"/>
  <c r="I80" i="10"/>
  <c r="H80" i="10"/>
  <c r="E80" i="10"/>
  <c r="D80" i="10"/>
  <c r="C80" i="10"/>
  <c r="B80" i="10"/>
  <c r="J79" i="10"/>
  <c r="I79" i="10"/>
  <c r="H79" i="10"/>
  <c r="E79" i="10"/>
  <c r="D79" i="10"/>
  <c r="C79" i="10"/>
  <c r="B79" i="10"/>
  <c r="D78" i="10"/>
  <c r="B78" i="10"/>
  <c r="D77" i="10"/>
  <c r="B77" i="10"/>
  <c r="D76" i="10"/>
  <c r="B76" i="10"/>
  <c r="D75" i="10"/>
  <c r="B75" i="10"/>
  <c r="D73" i="10"/>
  <c r="B73" i="10"/>
  <c r="J72" i="10"/>
  <c r="I72" i="10"/>
  <c r="H72" i="10"/>
  <c r="E72" i="10"/>
  <c r="D72" i="10"/>
  <c r="C72" i="10"/>
  <c r="B72" i="10"/>
  <c r="J71" i="10"/>
  <c r="I71" i="10"/>
  <c r="H71" i="10"/>
  <c r="E71" i="10"/>
  <c r="D71" i="10"/>
  <c r="C71" i="10"/>
  <c r="B71" i="10"/>
  <c r="J70" i="10"/>
  <c r="N70" i="10" s="1"/>
  <c r="N67" i="10" s="1"/>
  <c r="I70" i="10"/>
  <c r="M70" i="10" s="1"/>
  <c r="M67" i="10" s="1"/>
  <c r="H70" i="10"/>
  <c r="L70" i="10" s="1"/>
  <c r="L67" i="10" s="1"/>
  <c r="E70" i="10"/>
  <c r="D70" i="10"/>
  <c r="C70" i="10"/>
  <c r="B70" i="10"/>
  <c r="J69" i="10"/>
  <c r="I69" i="10"/>
  <c r="H69" i="10"/>
  <c r="E69" i="10"/>
  <c r="D69" i="10"/>
  <c r="C69" i="10"/>
  <c r="B69" i="10"/>
  <c r="K68" i="10"/>
  <c r="J68" i="10"/>
  <c r="I68" i="10"/>
  <c r="H68" i="10"/>
  <c r="E68" i="10"/>
  <c r="D68" i="10"/>
  <c r="C68" i="10"/>
  <c r="B68" i="10"/>
  <c r="D67" i="10"/>
  <c r="B67" i="10"/>
  <c r="V63" i="10"/>
  <c r="J63" i="10"/>
  <c r="I63" i="10"/>
  <c r="H63" i="10"/>
  <c r="E63" i="10"/>
  <c r="D63" i="10"/>
  <c r="C63" i="10"/>
  <c r="B63" i="10"/>
  <c r="V62" i="10"/>
  <c r="J62" i="10"/>
  <c r="I62" i="10"/>
  <c r="H62" i="10"/>
  <c r="E62" i="10"/>
  <c r="D62" i="10"/>
  <c r="C62" i="10"/>
  <c r="B62" i="10"/>
  <c r="O61" i="10"/>
  <c r="O59" i="10" s="1"/>
  <c r="J61" i="10"/>
  <c r="J59" i="10" s="1"/>
  <c r="I61" i="10"/>
  <c r="I59" i="10" s="1"/>
  <c r="I42" i="14" s="1"/>
  <c r="H61" i="10"/>
  <c r="H59" i="10" s="1"/>
  <c r="H42" i="14" s="1"/>
  <c r="E61" i="10"/>
  <c r="D61" i="10"/>
  <c r="C61" i="10"/>
  <c r="B61" i="10"/>
  <c r="V60" i="10"/>
  <c r="D59" i="10"/>
  <c r="B59" i="10"/>
  <c r="D58" i="10"/>
  <c r="B58" i="10"/>
  <c r="Z57" i="10"/>
  <c r="J57" i="10"/>
  <c r="I57" i="10"/>
  <c r="H57" i="10"/>
  <c r="E57" i="10"/>
  <c r="D57" i="10"/>
  <c r="C57" i="10"/>
  <c r="B57" i="10"/>
  <c r="Z56" i="10"/>
  <c r="E56" i="10"/>
  <c r="D56" i="10"/>
  <c r="C56" i="10"/>
  <c r="B56" i="10"/>
  <c r="Z55" i="10"/>
  <c r="J55" i="10"/>
  <c r="I55" i="10"/>
  <c r="H55" i="10"/>
  <c r="E55" i="10"/>
  <c r="D55" i="10"/>
  <c r="C55" i="10"/>
  <c r="B55" i="10"/>
  <c r="Z54" i="10"/>
  <c r="J54" i="10"/>
  <c r="I54" i="10"/>
  <c r="H54" i="10"/>
  <c r="E54" i="10"/>
  <c r="D54" i="10"/>
  <c r="C54" i="10"/>
  <c r="B54" i="10"/>
  <c r="J53" i="10"/>
  <c r="N53" i="10" s="1"/>
  <c r="N44" i="10" s="1"/>
  <c r="I53" i="10"/>
  <c r="M53" i="10" s="1"/>
  <c r="M44" i="10" s="1"/>
  <c r="H53" i="10"/>
  <c r="L53" i="10" s="1"/>
  <c r="L44" i="10" s="1"/>
  <c r="E53" i="10"/>
  <c r="D53" i="10"/>
  <c r="C53" i="10"/>
  <c r="B53" i="10"/>
  <c r="Z52" i="10"/>
  <c r="J52" i="10"/>
  <c r="I52" i="10"/>
  <c r="H52" i="10"/>
  <c r="E52" i="10"/>
  <c r="D52" i="10"/>
  <c r="C52" i="10"/>
  <c r="B52" i="10"/>
  <c r="J51" i="10"/>
  <c r="I51" i="10"/>
  <c r="H51" i="10"/>
  <c r="E51" i="10"/>
  <c r="D51" i="10"/>
  <c r="C51" i="10"/>
  <c r="B51" i="10"/>
  <c r="O50" i="10"/>
  <c r="Z50" i="10" s="1"/>
  <c r="J50" i="10"/>
  <c r="I50" i="10"/>
  <c r="H50" i="10"/>
  <c r="E50" i="10"/>
  <c r="D50" i="10"/>
  <c r="C50" i="10"/>
  <c r="B50" i="10"/>
  <c r="O49" i="10"/>
  <c r="E49" i="10"/>
  <c r="D49" i="10"/>
  <c r="C49" i="10"/>
  <c r="B49" i="10"/>
  <c r="O48" i="10"/>
  <c r="J48" i="10"/>
  <c r="I48" i="10"/>
  <c r="H48" i="10"/>
  <c r="E48" i="10"/>
  <c r="D48" i="10"/>
  <c r="C48" i="10"/>
  <c r="B48" i="10"/>
  <c r="E47" i="10"/>
  <c r="D47" i="10"/>
  <c r="C47" i="10"/>
  <c r="B47" i="10"/>
  <c r="J46" i="10"/>
  <c r="I46" i="10"/>
  <c r="H46" i="10"/>
  <c r="E46" i="10"/>
  <c r="D46" i="10"/>
  <c r="C46" i="10"/>
  <c r="B46" i="10"/>
  <c r="J45" i="10"/>
  <c r="I45" i="10"/>
  <c r="H45" i="10"/>
  <c r="E45" i="10"/>
  <c r="D45" i="10"/>
  <c r="C45" i="10"/>
  <c r="B45" i="10"/>
  <c r="D44" i="10"/>
  <c r="B44" i="10"/>
  <c r="D43" i="10"/>
  <c r="B43" i="10"/>
  <c r="D42" i="10"/>
  <c r="B42" i="10"/>
  <c r="D41" i="10"/>
  <c r="B41" i="10"/>
  <c r="D39" i="10"/>
  <c r="B39" i="10"/>
  <c r="D38" i="10"/>
  <c r="B38" i="10"/>
  <c r="J37" i="10"/>
  <c r="J36" i="10" s="1"/>
  <c r="I37" i="10"/>
  <c r="I36" i="10" s="1"/>
  <c r="H37" i="10"/>
  <c r="H36" i="10" s="1"/>
  <c r="H22" i="14" s="1"/>
  <c r="E37" i="10"/>
  <c r="D37" i="10"/>
  <c r="C37" i="10"/>
  <c r="B37" i="10"/>
  <c r="D36" i="10"/>
  <c r="B36" i="10"/>
  <c r="D35" i="10"/>
  <c r="B35" i="10"/>
  <c r="J34" i="10"/>
  <c r="I34" i="10"/>
  <c r="H34" i="10"/>
  <c r="E34" i="10"/>
  <c r="D34" i="10"/>
  <c r="C34" i="10"/>
  <c r="B34" i="10"/>
  <c r="J33" i="10"/>
  <c r="I33" i="10"/>
  <c r="H33" i="10"/>
  <c r="E33" i="10"/>
  <c r="D33" i="10"/>
  <c r="C33" i="10"/>
  <c r="B33" i="10"/>
  <c r="J32" i="10"/>
  <c r="I32" i="10"/>
  <c r="H32" i="10"/>
  <c r="E32" i="10"/>
  <c r="D32" i="10"/>
  <c r="C32" i="10"/>
  <c r="B32" i="10"/>
  <c r="D31" i="10"/>
  <c r="B31"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47" i="10" l="1"/>
  <c r="H12" i="10"/>
  <c r="I12" i="10"/>
  <c r="R12" i="10"/>
  <c r="R11" i="10" s="1"/>
  <c r="R218" i="10" s="1"/>
  <c r="J12" i="10"/>
  <c r="H106" i="10"/>
  <c r="H80" i="14" s="1"/>
  <c r="M11" i="10"/>
  <c r="M218" i="10" s="1"/>
  <c r="N11" i="10"/>
  <c r="N218" i="10" s="1"/>
  <c r="L11" i="10"/>
  <c r="L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I118" i="14"/>
  <c r="J192" i="10"/>
  <c r="F15" i="14"/>
  <c r="F39" i="14"/>
  <c r="F142" i="14"/>
  <c r="I128" i="14"/>
  <c r="I132" i="14"/>
  <c r="I137" i="14"/>
  <c r="I149" i="14"/>
  <c r="F44" i="14"/>
  <c r="V154" i="10"/>
  <c r="J152" i="10"/>
  <c r="J142" i="10"/>
  <c r="I113" i="14" s="1"/>
  <c r="I152" i="10"/>
  <c r="H113" i="10"/>
  <c r="H82" i="14" s="1"/>
  <c r="H192" i="10"/>
  <c r="H145" i="14" s="1"/>
  <c r="H179" i="10"/>
  <c r="H137" i="14" s="1"/>
  <c r="H170" i="10"/>
  <c r="H132" i="14" s="1"/>
  <c r="I113" i="10"/>
  <c r="I82" i="14" s="1"/>
  <c r="H44" i="10"/>
  <c r="H36" i="14" s="1"/>
  <c r="J113" i="10"/>
  <c r="H31" i="10"/>
  <c r="H17" i="14" s="1"/>
  <c r="H67" i="10"/>
  <c r="H45" i="14" s="1"/>
  <c r="J91" i="10"/>
  <c r="I91" i="10"/>
  <c r="I69" i="14" s="1"/>
  <c r="V61" i="10"/>
  <c r="I67" i="10"/>
  <c r="I45" i="14" s="1"/>
  <c r="J31" i="10"/>
  <c r="J44" i="10"/>
  <c r="J67" i="10"/>
  <c r="I78" i="10"/>
  <c r="I55" i="14" s="1"/>
  <c r="H91" i="10"/>
  <c r="H69" i="14" s="1"/>
  <c r="X111" i="10"/>
  <c r="V194" i="10"/>
  <c r="O192" i="10"/>
  <c r="V165" i="10"/>
  <c r="O162" i="10"/>
  <c r="I31" i="10"/>
  <c r="I44" i="10"/>
  <c r="I36" i="14" s="1"/>
  <c r="H78" i="10"/>
  <c r="H55" i="14" s="1"/>
  <c r="J184" i="10"/>
  <c r="I141" i="14" s="1"/>
  <c r="J78" i="10"/>
  <c r="H103" i="10"/>
  <c r="H77" i="14" s="1"/>
  <c r="X104" i="10"/>
  <c r="I106" i="10"/>
  <c r="I80" i="14" s="1"/>
  <c r="Q11" i="10" l="1"/>
  <c r="Q218" i="10" s="1"/>
  <c r="L14" i="14"/>
  <c r="I125" i="14"/>
  <c r="I17" i="14"/>
  <c r="J11" i="10"/>
  <c r="I11" i="10"/>
  <c r="I145" i="14"/>
  <c r="H14" i="14"/>
  <c r="I14" i="14"/>
  <c r="J215" i="3"/>
  <c r="M215" i="3"/>
  <c r="P215" i="3"/>
  <c r="S215" i="3"/>
  <c r="V215" i="3"/>
  <c r="G215" i="3"/>
  <c r="Q220" i="2"/>
  <c r="R220" i="2"/>
  <c r="P220" i="2"/>
  <c r="K33" i="10" l="1"/>
  <c r="K34" i="10"/>
  <c r="K46" i="10"/>
  <c r="K48" i="10"/>
  <c r="K50" i="10"/>
  <c r="K51" i="10"/>
  <c r="K52" i="10"/>
  <c r="K53" i="10"/>
  <c r="O53" i="10" s="1"/>
  <c r="K54" i="10"/>
  <c r="K55" i="10"/>
  <c r="K57" i="10"/>
  <c r="K61" i="10"/>
  <c r="K62" i="10"/>
  <c r="K63" i="10"/>
  <c r="K70" i="10"/>
  <c r="O70" i="10" s="1"/>
  <c r="O67" i="10" s="1"/>
  <c r="K71" i="10"/>
  <c r="K72" i="10"/>
  <c r="K80" i="10"/>
  <c r="K81" i="10"/>
  <c r="K82" i="10"/>
  <c r="K93" i="10"/>
  <c r="K94" i="10"/>
  <c r="K95" i="10"/>
  <c r="K96" i="10"/>
  <c r="K97" i="10"/>
  <c r="K98" i="10"/>
  <c r="K99" i="10"/>
  <c r="K100" i="10"/>
  <c r="K101" i="10"/>
  <c r="K102" i="10"/>
  <c r="K105" i="10"/>
  <c r="K108" i="10"/>
  <c r="K109" i="10"/>
  <c r="K110" i="10"/>
  <c r="K111" i="10"/>
  <c r="K112"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K21" i="10"/>
  <c r="K22" i="10"/>
  <c r="K23" i="10"/>
  <c r="K24" i="10"/>
  <c r="K25" i="10"/>
  <c r="K26" i="10"/>
  <c r="P20" i="10" l="1"/>
  <c r="S12" i="10"/>
  <c r="Z53" i="10"/>
  <c r="O44" i="10"/>
  <c r="O11" i="10" s="1"/>
  <c r="O218" i="10" s="1"/>
  <c r="K59"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106" i="10"/>
  <c r="J80" i="14" s="1"/>
  <c r="J42" i="14"/>
  <c r="K92" i="10"/>
  <c r="K91" i="10" s="1"/>
  <c r="J69" i="14" s="1"/>
  <c r="K45" i="10"/>
  <c r="K44" i="10" s="1"/>
  <c r="J36" i="14" s="1"/>
  <c r="K69" i="10"/>
  <c r="K67" i="10" s="1"/>
  <c r="J45" i="14" s="1"/>
  <c r="K104" i="10"/>
  <c r="K103" i="10" s="1"/>
  <c r="J77" i="14" s="1"/>
  <c r="K37" i="10"/>
  <c r="K36" i="10" s="1"/>
  <c r="J22" i="14" s="1"/>
  <c r="K32" i="10"/>
  <c r="K31" i="10" s="1"/>
  <c r="J17" i="14" s="1"/>
  <c r="K79" i="10"/>
  <c r="K78" i="10" s="1"/>
  <c r="J55" i="14" s="1"/>
  <c r="K152" i="10" l="1"/>
  <c r="J125" i="14" s="1"/>
  <c r="K113" i="10"/>
  <c r="J82" i="14" s="1"/>
  <c r="K13" i="10"/>
  <c r="K12" i="10" s="1"/>
  <c r="K11" i="10" l="1"/>
  <c r="J14" i="14"/>
  <c r="S220" i="2"/>
  <c r="P91" i="10"/>
  <c r="S91" i="10"/>
  <c r="K69" i="14" l="1"/>
  <c r="M69" i="14"/>
  <c r="P106" i="10"/>
  <c r="K80" i="14" s="1"/>
  <c r="S106" i="10"/>
  <c r="M80" i="14" s="1"/>
  <c r="P116" i="10"/>
  <c r="P113" i="10" s="1"/>
  <c r="K82" i="14" s="1"/>
  <c r="S142" i="10"/>
  <c r="M113" i="14" s="1"/>
  <c r="P143" i="10"/>
  <c r="P142" i="10" s="1"/>
  <c r="K113" i="14" l="1"/>
  <c r="M14" i="14"/>
  <c r="P17" i="10"/>
  <c r="P12" i="10" s="1"/>
  <c r="K14" i="14" l="1"/>
  <c r="P11" i="10"/>
  <c r="P218" i="10" s="1"/>
  <c r="S11" i="10"/>
  <c r="S218" i="10" s="1"/>
</calcChain>
</file>

<file path=xl/sharedStrings.xml><?xml version="1.0" encoding="utf-8"?>
<sst xmlns="http://schemas.openxmlformats.org/spreadsheetml/2006/main" count="4336" uniqueCount="1534">
  <si>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</si>
  <si>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</si>
  <si>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</si>
  <si>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</si>
  <si>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</si>
  <si>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</si>
  <si>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</si>
  <si>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</si>
  <si>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</si>
  <si>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</si>
  <si>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</si>
  <si>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</si>
  <si>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</si>
  <si>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</si>
  <si>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</si>
  <si>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</si>
  <si>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</si>
  <si>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</si>
  <si>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</si>
  <si>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</si>
  <si>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</si>
  <si>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</si>
  <si>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</si>
  <si>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</si>
  <si>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</si>
  <si>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</si>
  <si>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</si>
  <si>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</si>
  <si>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</si>
  <si>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</si>
  <si>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</si>
  <si>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</si>
  <si>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</si>
  <si>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</si>
  <si>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</si>
  <si>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</si>
  <si>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</si>
  <si>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</si>
  <si>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</si>
  <si>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</si>
  <si>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</si>
  <si>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</si>
  <si>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</si>
  <si>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</si>
  <si>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</si>
  <si>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</si>
  <si>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</si>
  <si>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</si>
  <si>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</si>
  <si>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</si>
  <si>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</si>
  <si>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</si>
  <si>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</si>
  <si>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</si>
  <si>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</si>
  <si>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</si>
  <si>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</si>
  <si>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</si>
  <si>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</si>
  <si>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</si>
  <si>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</si>
  <si>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</si>
  <si>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</si>
  <si>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</si>
  <si>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</si>
  <si>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</si>
  <si>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</si>
  <si>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</si>
  <si>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</si>
  <si>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</si>
  <si>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</si>
  <si>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</si>
  <si>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</si>
  <si>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</si>
  <si>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</si>
  <si>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</si>
  <si>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</si>
  <si>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</si>
  <si>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</si>
  <si>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</si>
  <si>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</si>
  <si>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</si>
  <si>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</si>
  <si>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</si>
  <si>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</si>
  <si>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</si>
  <si>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</si>
  <si>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</si>
  <si>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</si>
  <si>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</si>
  <si>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</si>
  <si>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</si>
  <si>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</si>
  <si>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</si>
  <si>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</si>
  <si>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</si>
  <si>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</si>
  <si>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</si>
  <si>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</si>
  <si>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</si>
  <si>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</si>
  <si>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</si>
  <si>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</si>
  <si>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</si>
  <si>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</si>
  <si>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</si>
  <si>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</si>
  <si>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</si>
  <si>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</si>
  <si>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</si>
  <si>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</si>
  <si>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</si>
  <si>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</si>
  <si>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</si>
  <si>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</si>
  <si>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</si>
  <si>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</si>
  <si>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</si>
  <si>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</si>
  <si>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</si>
  <si>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</si>
  <si>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</si>
  <si>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</si>
  <si>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</si>
  <si>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</si>
  <si>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</si>
  <si>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</si>
  <si>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</si>
  <si>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</si>
  <si>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</si>
  <si>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</si>
  <si>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</si>
  <si>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</si>
  <si>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</si>
  <si>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</si>
  <si>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</si>
  <si>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</si>
  <si>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</si>
  <si>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</si>
  <si>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</si>
  <si>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</si>
  <si>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</si>
  <si>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</si>
  <si>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</si>
  <si>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</si>
  <si>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</si>
  <si>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</si>
  <si>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</si>
  <si>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</si>
  <si>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</si>
  <si>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</si>
  <si>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</si>
  <si>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</si>
  <si>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</si>
  <si>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</si>
  <si>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</si>
  <si>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</si>
  <si>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</si>
  <si>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</si>
  <si>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</si>
  <si>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</si>
  <si>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</si>
  <si>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</si>
  <si>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</si>
  <si>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</si>
  <si>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</si>
  <si>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</si>
  <si>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</si>
  <si>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</si>
  <si>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</si>
  <si>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</si>
  <si>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</si>
  <si>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</si>
  <si>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</si>
  <si>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</si>
  <si>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</si>
  <si>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</si>
  <si>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</si>
  <si>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</si>
  <si>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</si>
  <si>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</si>
  <si>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</si>
  <si>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</si>
  <si>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</si>
  <si>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</si>
  <si>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</si>
  <si>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</si>
  <si>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</si>
  <si>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</si>
  <si>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</si>
  <si>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</si>
  <si>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</si>
  <si>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</si>
  <si>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</si>
  <si>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</si>
  <si>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</si>
  <si>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</si>
  <si>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</si>
  <si>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</si>
  <si>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</si>
  <si>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</si>
  <si>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</si>
  <si>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</si>
  <si>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</si>
  <si>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</si>
  <si>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</si>
  <si>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</si>
  <si>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</si>
  <si>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</si>
  <si>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</si>
  <si>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</si>
  <si>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</si>
  <si>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</si>
  <si>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</si>
  <si>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</si>
  <si>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</si>
  <si>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</si>
  <si>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</si>
  <si>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</si>
  <si>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</si>
  <si>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</si>
  <si>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R095511-120000-1222</t>
  </si>
  <si>
    <t>Saugaus eismo priemonių diegimas Ignalinos rajono keliuose</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</si>
  <si>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</si>
  <si>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</si>
  <si>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</si>
  <si>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</si>
  <si>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</si>
  <si>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</si>
  <si>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</si>
  <si>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</si>
  <si>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</si>
  <si>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</si>
  <si>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</si>
  <si>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</si>
  <si>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</si>
  <si>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</si>
  <si>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</si>
  <si>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</si>
  <si>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</si>
  <si>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</si>
  <si>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</si>
  <si>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</si>
  <si>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</si>
  <si>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</si>
  <si>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</si>
  <si>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</si>
  <si>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</si>
  <si>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</si>
  <si>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</si>
  <si>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</si>
  <si>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</si>
  <si>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</si>
  <si>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</si>
  <si>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</si>
  <si>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</si>
  <si>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</si>
  <si>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</si>
  <si>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</si>
  <si>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</si>
  <si>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</si>
  <si>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</si>
  <si>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</si>
  <si>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</si>
  <si>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</si>
  <si>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</si>
  <si>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</si>
  <si>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</si>
  <si>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</si>
  <si>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</si>
  <si>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</si>
  <si>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</si>
  <si>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</si>
  <si>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</si>
  <si>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</si>
  <si>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</si>
  <si>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</si>
  <si>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</si>
  <si>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</si>
  <si>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</si>
  <si>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</si>
  <si>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</si>
  <si>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</si>
  <si>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</si>
  <si>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</si>
  <si>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</si>
  <si>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</si>
  <si>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</si>
  <si>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</si>
  <si>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</si>
  <si>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</si>
  <si>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</si>
  <si>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</si>
  <si>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</si>
  <si>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</si>
  <si>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</si>
  <si>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</si>
  <si>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</si>
  <si>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</si>
  <si>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</si>
  <si>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</si>
  <si>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</si>
  <si>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</si>
  <si>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</si>
  <si>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</si>
  <si>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</si>
  <si>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</si>
  <si>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</si>
  <si>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</si>
  <si>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</si>
  <si>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</si>
  <si>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</si>
  <si>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</si>
  <si>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</si>
  <si>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</si>
  <si>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</si>
  <si>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</si>
  <si>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</si>
  <si>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</si>
  <si>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</si>
  <si>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</si>
  <si>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</si>
  <si>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</si>
  <si>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</si>
  <si>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</si>
  <si>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</si>
  <si>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</si>
  <si>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</si>
  <si>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</si>
  <si>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</si>
  <si>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</si>
  <si>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</si>
  <si>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</si>
  <si>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</si>
  <si>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</si>
  <si>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</si>
  <si>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</si>
  <si>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</si>
  <si>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</si>
  <si>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</si>
  <si>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</si>
  <si>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</si>
  <si>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</si>
  <si>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</si>
  <si>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</si>
  <si>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</si>
  <si>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</si>
  <si>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</si>
  <si>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</si>
  <si>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</si>
  <si>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</si>
  <si>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</si>
  <si>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</si>
  <si>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</si>
  <si>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</si>
  <si>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</si>
  <si>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</si>
  <si>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</si>
  <si>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</si>
  <si>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</si>
  <si>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</si>
  <si>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</si>
  <si>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</si>
  <si>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</si>
  <si>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</si>
  <si>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</si>
  <si>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</si>
  <si>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</si>
  <si>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</si>
  <si>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</si>
  <si>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</si>
  <si>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</si>
  <si>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</si>
  <si>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</si>
  <si>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</si>
  <si>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</si>
  <si>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</si>
  <si>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</si>
  <si>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</si>
  <si>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</si>
  <si>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</si>
  <si>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</si>
  <si>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</si>
  <si>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</si>
  <si>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</si>
  <si>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</si>
  <si>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</si>
  <si>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</si>
  <si>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</si>
  <si>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</si>
  <si>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</si>
  <si>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</si>
  <si>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</si>
  <si>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</si>
  <si>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</si>
  <si>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</si>
  <si>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</si>
  <si>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</si>
  <si>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</si>
  <si>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</si>
  <si>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</si>
  <si>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</si>
  <si>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</si>
  <si>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</si>
  <si>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</si>
  <si>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</si>
  <si>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</si>
  <si>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</si>
  <si>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</si>
  <si>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</si>
  <si>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</si>
  <si>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</si>
  <si>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</si>
  <si>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</si>
  <si>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</si>
  <si>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</si>
  <si>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</si>
  <si>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</si>
  <si>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</si>
  <si>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</si>
  <si>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</si>
  <si>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</si>
  <si>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</si>
  <si>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</si>
  <si>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</si>
  <si>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</si>
  <si>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</si>
  <si>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</si>
  <si>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</si>
  <si>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</si>
  <si>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</si>
  <si>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</si>
  <si>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</si>
  <si>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</si>
  <si>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</si>
  <si>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</si>
  <si>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</si>
  <si>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</si>
  <si>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</si>
  <si>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</si>
  <si>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</si>
  <si>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</si>
  <si>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</si>
  <si>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</si>
  <si>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</si>
  <si>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</si>
  <si>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</si>
  <si>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</si>
  <si>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</si>
  <si>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</si>
  <si>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</si>
  <si>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</si>
  <si>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</si>
  <si>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</si>
  <si>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</si>
  <si>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</si>
  <si>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</si>
  <si>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</si>
  <si>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</si>
  <si>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</si>
  <si>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</si>
  <si>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</si>
  <si>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</si>
  <si>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</si>
  <si>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</si>
  <si>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</si>
  <si>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</si>
  <si>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</si>
  <si>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</si>
  <si>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</si>
  <si>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</si>
  <si>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</si>
  <si>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</si>
  <si>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</si>
  <si>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</si>
  <si>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</si>
  <si>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</si>
  <si>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</si>
  <si>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</si>
  <si>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</si>
  <si>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</si>
  <si>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</si>
  <si>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</si>
  <si>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</si>
  <si>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</si>
  <si>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</si>
  <si>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</si>
  <si>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</si>
  <si>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</si>
  <si>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</si>
  <si>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</si>
  <si>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</si>
  <si>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</si>
  <si>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</si>
  <si>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</si>
  <si>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</si>
  <si>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</si>
  <si>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</si>
  <si>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</si>
  <si>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</si>
  <si>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</si>
  <si>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</si>
  <si>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</si>
  <si>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</si>
  <si>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</si>
  <si>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</si>
  <si>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</si>
  <si>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</si>
  <si>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</si>
  <si>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</si>
  <si>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</si>
  <si>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</si>
  <si>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</si>
  <si>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</si>
  <si>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</si>
  <si>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</si>
  <si>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</si>
  <si>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</si>
  <si>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</si>
  <si>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</si>
  <si>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</si>
  <si>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</si>
  <si>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</si>
  <si>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</si>
  <si>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</si>
  <si>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</si>
  <si>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</si>
  <si>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</si>
  <si>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</si>
  <si>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</si>
  <si>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</si>
  <si>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</si>
  <si>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</si>
  <si>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</si>
  <si>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</si>
  <si>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</si>
  <si>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</si>
  <si>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</si>
  <si>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</si>
  <si>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</si>
  <si>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</si>
  <si>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</si>
  <si>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</si>
  <si>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</si>
  <si>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</si>
  <si>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</si>
  <si>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</si>
  <si>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</si>
  <si>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</si>
  <si>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</si>
  <si>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</si>
  <si>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</si>
  <si>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</si>
  <si>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</si>
  <si>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</si>
  <si>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</si>
  <si>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</si>
  <si>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</si>
  <si>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</si>
  <si>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</si>
  <si>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</si>
  <si>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</si>
  <si>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</si>
  <si>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</si>
  <si>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</si>
  <si>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</si>
  <si>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</si>
  <si>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</si>
  <si>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</si>
  <si>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</si>
  <si>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</si>
  <si>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</si>
  <si>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</si>
  <si>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</si>
  <si>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</si>
  <si>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</si>
  <si>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</si>
  <si>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</si>
  <si>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</si>
  <si>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</si>
  <si>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</si>
  <si>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</si>
  <si>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</si>
  <si>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</si>
  <si>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</si>
  <si>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</si>
  <si>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</si>
  <si>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</si>
  <si>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</si>
  <si>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</si>
  <si>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</si>
  <si>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</si>
  <si>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</si>
  <si>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</si>
  <si>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</si>
  <si>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</si>
  <si>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</si>
  <si>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</si>
  <si>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</si>
  <si>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</si>
  <si>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</si>
  <si>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</si>
  <si>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</si>
  <si>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</si>
  <si>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</si>
  <si>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</si>
  <si>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</si>
  <si>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</si>
  <si>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</si>
  <si>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</si>
  <si>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</si>
  <si>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</si>
  <si>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</si>
  <si>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</si>
  <si>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</si>
  <si>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</si>
  <si>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</si>
  <si>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</si>
  <si>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</si>
  <si>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</si>
  <si>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</si>
  <si>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</si>
  <si>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</si>
  <si>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</si>
  <si>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</si>
  <si>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</si>
  <si>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</si>
  <si>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</si>
  <si>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</si>
  <si>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</si>
  <si>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</si>
  <si>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</si>
  <si>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</si>
  <si>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</si>
  <si>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</si>
  <si>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</si>
  <si>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</si>
  <si>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</si>
  <si>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</si>
  <si>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</si>
  <si>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</si>
  <si>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</si>
  <si>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</si>
  <si>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</si>
  <si>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</si>
  <si>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</si>
  <si>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</si>
  <si>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</si>
  <si>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</si>
  <si>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</si>
  <si>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</si>
  <si>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</si>
  <si>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</si>
  <si>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</si>
  <si>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</si>
  <si>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</si>
  <si>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</si>
  <si>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</si>
  <si>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</si>
  <si>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</si>
  <si>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</si>
  <si>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</si>
  <si>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</si>
  <si>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</si>
  <si>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</si>
  <si>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</si>
  <si>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</si>
  <si>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</si>
  <si>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</si>
  <si>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</si>
  <si>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</si>
  <si>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</si>
  <si>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</si>
  <si>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</si>
  <si>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</si>
  <si>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</si>
  <si>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</si>
  <si>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</si>
  <si>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</si>
  <si>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</si>
  <si>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</si>
  <si>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</si>
  <si>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</si>
  <si>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</si>
  <si>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</si>
  <si>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</si>
  <si>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</si>
  <si>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</si>
  <si>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</si>
  <si>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</si>
  <si>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</si>
  <si>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</si>
  <si>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</si>
  <si>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</si>
  <si>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</si>
  <si>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</si>
  <si>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</si>
  <si>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</si>
  <si>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</si>
  <si>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</si>
  <si>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</si>
  <si>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</si>
  <si>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</si>
  <si>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</si>
  <si>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</si>
  <si>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</si>
  <si>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</si>
  <si>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</si>
  <si>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</si>
  <si>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</si>
  <si>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</si>
  <si>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</si>
  <si>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</si>
  <si>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</si>
  <si>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</si>
  <si>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</si>
  <si>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</si>
  <si>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</si>
  <si>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</si>
  <si>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</si>
  <si>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</si>
  <si>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</si>
  <si>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</si>
  <si>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</si>
  <si>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</si>
  <si>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</si>
  <si>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</si>
  <si>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</si>
  <si>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</si>
  <si>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</si>
  <si>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</si>
  <si>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</si>
  <si>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</si>
  <si>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</si>
  <si>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</si>
  <si>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</si>
  <si>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</si>
  <si>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</si>
  <si>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</si>
  <si>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</si>
  <si>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</si>
  <si>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</si>
  <si>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</si>
  <si>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</si>
  <si>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</si>
  <si>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</si>
  <si>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</si>
  <si>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</si>
  <si>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</si>
  <si>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</si>
  <si>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</si>
  <si>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</si>
  <si>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</si>
  <si>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</si>
  <si>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</si>
  <si>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</si>
  <si>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</si>
  <si>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</si>
  <si>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</si>
  <si>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</si>
  <si>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</si>
  <si>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</si>
  <si>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</si>
  <si>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</si>
  <si>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</si>
  <si>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</si>
  <si>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</si>
  <si>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</si>
  <si>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</si>
  <si>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</si>
  <si>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</si>
  <si>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</si>
  <si>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</si>
  <si>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</si>
  <si>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</si>
  <si>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</si>
  <si>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</si>
  <si>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</si>
  <si>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</si>
  <si>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</si>
  <si>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</si>
  <si>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</si>
  <si>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</si>
  <si>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</si>
  <si>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</si>
  <si>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</si>
  <si>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</si>
  <si>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</si>
  <si>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</si>
  <si>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</si>
  <si>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</si>
  <si>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</si>
  <si>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</si>
  <si>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</si>
  <si>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</si>
  <si>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</si>
  <si>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</si>
  <si>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</si>
  <si>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</si>
  <si>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</si>
  <si>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</si>
  <si>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</si>
  <si>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</si>
  <si>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</si>
  <si>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</si>
  <si>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</si>
  <si>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</si>
  <si>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</si>
  <si>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</si>
  <si>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</si>
  <si>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</si>
  <si>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</si>
  <si>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</si>
  <si>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</si>
  <si>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</si>
  <si>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</si>
  <si>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</si>
  <si>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</si>
  <si>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</si>
  <si>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</si>
  <si>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</si>
  <si>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</si>
  <si>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</si>
  <si>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</si>
  <si>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</si>
  <si>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</si>
  <si>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</si>
  <si>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</si>
  <si>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</si>
  <si>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</si>
  <si>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</si>
  <si>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</si>
  <si>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</si>
  <si>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</si>
  <si>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</si>
  <si>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</si>
  <si>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</si>
  <si>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</si>
  <si>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</si>
  <si>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</si>
  <si>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</si>
  <si>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</si>
  <si>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</si>
  <si>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</si>
  <si>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</si>
  <si>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</si>
  <si>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</si>
  <si>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</si>
  <si>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</si>
  <si>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</si>
  <si>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</si>
  <si>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</si>
  <si>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</si>
  <si>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</si>
  <si>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</si>
  <si>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</si>
  <si>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</si>
  <si>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</si>
  <si>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</si>
  <si>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</si>
  <si>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</si>
  <si>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</si>
  <si>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</si>
  <si>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</si>
  <si>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</si>
  <si>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</si>
  <si>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</si>
  <si>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</si>
  <si>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</si>
  <si>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</si>
  <si>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</si>
  <si>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</si>
  <si>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</si>
  <si>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</si>
  <si>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</si>
  <si>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</si>
  <si>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</si>
  <si>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</si>
  <si>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</si>
  <si>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</si>
  <si>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</si>
  <si>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</si>
  <si>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</si>
  <si>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</si>
  <si>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</si>
  <si>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</si>
  <si>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</si>
  <si>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</si>
  <si>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</si>
  <si>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</si>
  <si>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</si>
  <si>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</si>
  <si>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</si>
  <si>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</si>
  <si>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</si>
  <si>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</si>
  <si>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</si>
  <si>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</si>
  <si>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</si>
  <si>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</si>
  <si>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</si>
  <si>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</si>
  <si>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</si>
  <si>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</si>
  <si>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</si>
  <si>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</si>
  <si>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</si>
  <si>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</si>
  <si>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</si>
  <si>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</si>
  <si>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</si>
  <si>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</si>
  <si>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</si>
  <si>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</si>
  <si>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</si>
  <si>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</si>
  <si>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</si>
  <si>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</si>
  <si>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</si>
  <si>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</si>
  <si>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</si>
  <si>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</si>
  <si>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</si>
  <si>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</si>
  <si>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</si>
  <si>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</si>
  <si>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</si>
  <si>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</si>
  <si>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</si>
  <si>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</si>
  <si>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</si>
  <si>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</si>
  <si>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</si>
  <si>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</si>
  <si>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</si>
  <si>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</si>
  <si>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</si>
  <si>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</si>
  <si>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</si>
  <si>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</si>
  <si>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</si>
  <si>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</si>
  <si>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</si>
  <si>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</si>
  <si>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</si>
  <si>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</si>
  <si>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</si>
  <si>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</si>
  <si>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</si>
  <si>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</si>
  <si>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</si>
  <si>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</si>
  <si>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</si>
  <si>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</si>
  <si>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</si>
  <si>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</si>
  <si>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</si>
  <si>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</si>
  <si>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</si>
  <si>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</si>
  <si>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</si>
  <si>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</si>
  <si>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</si>
  <si>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</si>
  <si>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</si>
  <si>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</si>
  <si>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</si>
  <si>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</si>
  <si>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</si>
  <si>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</si>
  <si>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</si>
  <si>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</si>
  <si>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</si>
  <si>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</si>
  <si>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</si>
  <si>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</si>
  <si>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</si>
  <si>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</si>
  <si>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</si>
  <si>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</si>
  <si>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</si>
  <si>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</si>
  <si>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</si>
  <si>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</si>
  <si>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</si>
  <si>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</si>
  <si>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</si>
  <si>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</si>
  <si>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</si>
  <si>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</si>
  <si>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</si>
  <si>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</si>
  <si>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</si>
  <si>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</si>
  <si>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</si>
  <si>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</si>
  <si>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</si>
  <si>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</si>
  <si>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</si>
  <si>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</si>
  <si>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</si>
  <si>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</si>
  <si>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</si>
  <si>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</si>
  <si>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</si>
  <si>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</si>
  <si>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</si>
  <si>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</si>
  <si>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</si>
  <si>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</si>
  <si>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</si>
  <si>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</si>
  <si>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</si>
  <si>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</si>
  <si>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</si>
  <si>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</si>
  <si>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</si>
  <si>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</si>
  <si>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</si>
  <si>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</si>
  <si>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</si>
  <si>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</si>
  <si>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</si>
  <si>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</si>
  <si>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</si>
  <si>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</si>
  <si>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</si>
  <si>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</si>
  <si>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</si>
  <si>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</si>
  <si>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</si>
  <si>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</si>
  <si>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</si>
  <si>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</si>
  <si>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</si>
  <si>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</si>
  <si>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</si>
  <si>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</si>
  <si>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</si>
  <si>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</si>
  <si>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</si>
  <si>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</si>
  <si>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</si>
  <si>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</si>
  <si>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</si>
  <si>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</si>
  <si>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</si>
  <si>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</si>
  <si>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</si>
  <si>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</si>
  <si>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</si>
  <si>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</si>
  <si>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</si>
  <si>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</si>
  <si>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</si>
  <si>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</si>
  <si>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</si>
  <si>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</si>
  <si>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</si>
  <si>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</si>
  <si>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</si>
  <si>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</si>
  <si>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</si>
  <si>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</si>
  <si>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</si>
  <si>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</si>
  <si>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</si>
  <si>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</si>
  <si>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</si>
  <si>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</si>
  <si>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</si>
  <si>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</si>
  <si>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</si>
  <si>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</si>
  <si>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</si>
  <si>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</si>
  <si>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</si>
  <si>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</si>
  <si>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</si>
  <si>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</si>
  <si>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</si>
  <si>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</si>
  <si>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</si>
  <si>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</si>
  <si>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</si>
  <si>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</si>
  <si>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</si>
  <si>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</si>
  <si>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</si>
  <si>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</si>
  <si>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</si>
  <si>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</si>
  <si>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</si>
  <si>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</si>
  <si>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</si>
  <si>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</si>
  <si>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</si>
  <si>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</si>
  <si>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</si>
  <si>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</si>
  <si>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</si>
  <si>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</si>
  <si>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</si>
  <si>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</si>
  <si>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</si>
  <si>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</si>
  <si>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</si>
  <si>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</si>
  <si>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</si>
  <si>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</si>
  <si>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</si>
  <si>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</si>
  <si>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</si>
  <si>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</si>
  <si>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</si>
  <si>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</si>
  <si>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</si>
  <si>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</si>
  <si>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</si>
  <si>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</si>
  <si>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</si>
  <si>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</si>
  <si>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</si>
  <si>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</si>
  <si>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</si>
  <si>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</si>
  <si>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</si>
  <si>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</si>
  <si>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</si>
  <si>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</si>
  <si>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</si>
  <si>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</si>
  <si>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</si>
  <si>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</si>
  <si>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</si>
  <si>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</si>
  <si>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</si>
  <si>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</si>
  <si>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</si>
  <si>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</si>
  <si>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</si>
  <si>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</si>
  <si>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</si>
  <si>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</si>
  <si>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</si>
  <si>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</si>
  <si>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</si>
  <si>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</si>
  <si>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</si>
  <si>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</si>
  <si>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</si>
  <si>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</si>
  <si>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</si>
  <si>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</si>
  <si>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</si>
  <si>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</si>
  <si>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</si>
  <si>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</si>
  <si>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</si>
  <si>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</si>
  <si>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</si>
  <si>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</si>
  <si>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</si>
  <si>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</si>
  <si>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</si>
  <si>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</si>
  <si>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</si>
  <si>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</si>
  <si>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</si>
  <si>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</si>
  <si>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</si>
  <si>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</si>
  <si>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</si>
  <si>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</si>
  <si>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</si>
  <si>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</si>
  <si>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</si>
  <si>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</si>
  <si>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</si>
  <si>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</si>
  <si>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</si>
  <si>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</si>
  <si>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</si>
  <si>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</si>
  <si>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</si>
  <si>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</si>
  <si>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</si>
  <si>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</si>
  <si>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</si>
  <si>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</si>
  <si>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</si>
  <si>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</si>
  <si>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</si>
  <si>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</si>
  <si>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</si>
  <si>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</si>
  <si>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</si>
  <si>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</si>
  <si>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</si>
  <si>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</si>
  <si>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</si>
  <si>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</si>
  <si>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</si>
  <si>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</si>
  <si>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</si>
  <si>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</si>
  <si>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</si>
  <si>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</si>
  <si>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</si>
  <si>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</si>
  <si>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</si>
  <si>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</si>
  <si>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</si>
  <si>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</si>
  <si>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</si>
  <si>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</si>
  <si>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</si>
  <si>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</si>
  <si>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</si>
  <si>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</si>
  <si>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</si>
  <si>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</si>
  <si>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</si>
  <si>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</si>
  <si>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</si>
  <si>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</si>
  <si>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</si>
  <si>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</si>
  <si>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</si>
  <si>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</si>
  <si>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</si>
  <si>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</si>
  <si>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</si>
  <si>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</si>
  <si>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</si>
  <si>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</si>
  <si>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</si>
  <si>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</si>
  <si>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</si>
  <si>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</si>
  <si>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</si>
  <si>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</si>
  <si>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</si>
  <si>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</si>
  <si>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</si>
  <si>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</si>
  <si>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</si>
  <si>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</si>
  <si>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</si>
  <si>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</si>
  <si>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</si>
  <si>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</si>
  <si>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</si>
  <si>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</si>
  <si>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</si>
  <si>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</si>
  <si>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</si>
  <si>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</si>
  <si>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</si>
  <si>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</si>
  <si>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</si>
  <si>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</si>
  <si>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</si>
  <si>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</si>
  <si>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</si>
  <si>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</si>
  <si>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</si>
  <si>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</si>
  <si>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</si>
  <si>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</si>
  <si>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</si>
  <si>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</si>
  <si>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</si>
  <si>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</si>
  <si>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</si>
  <si>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</si>
  <si>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</si>
  <si>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</si>
  <si>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</si>
  <si>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</si>
  <si>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</si>
  <si>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</si>
  <si>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</si>
  <si>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</si>
  <si>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</si>
  <si>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</si>
  <si>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</si>
  <si>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</si>
  <si>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</si>
  <si>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</si>
  <si>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</si>
  <si>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</si>
  <si>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</si>
  <si>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</si>
  <si>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</si>
  <si>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</si>
  <si>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</si>
  <si>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</si>
  <si>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</si>
  <si>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</si>
  <si>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</si>
  <si>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</si>
  <si>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</si>
  <si>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</si>
  <si>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</si>
  <si>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</si>
  <si>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</si>
  <si>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</si>
  <si>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</si>
  <si>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</si>
  <si>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</si>
  <si>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</si>
  <si>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</si>
  <si>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</si>
  <si>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</si>
  <si>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</si>
  <si>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</si>
  <si>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</si>
  <si>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</si>
  <si>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</si>
  <si>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</si>
  <si>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</si>
  <si>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</si>
  <si>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</si>
  <si>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</si>
  <si>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</si>
  <si>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</si>
  <si>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</si>
  <si>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</si>
  <si>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</si>
  <si>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</si>
  <si>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</si>
  <si>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</si>
  <si>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</si>
  <si>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</si>
  <si>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</si>
  <si>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</si>
  <si>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</si>
  <si>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</si>
  <si>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</si>
  <si>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</si>
  <si>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</si>
  <si>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</si>
  <si>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</si>
  <si>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</si>
  <si>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</si>
  <si>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</si>
  <si>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</si>
  <si>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</si>
  <si>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</si>
  <si>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</si>
  <si>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</si>
  <si>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</si>
  <si>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</si>
  <si>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</si>
  <si>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</si>
  <si>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</si>
  <si>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</si>
  <si>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</si>
  <si>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</si>
  <si>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</si>
  <si>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</si>
  <si>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</si>
  <si>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</si>
  <si>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</si>
  <si>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</si>
  <si>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sut pak 2019-11-13</t>
  </si>
  <si>
    <t>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</si>
  <si>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</si>
  <si>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</si>
  <si>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</si>
  <si>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</si>
  <si>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</si>
  <si>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</si>
  <si>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</si>
  <si>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</si>
  <si>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</si>
  <si>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</si>
  <si>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</si>
  <si>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</si>
  <si>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</si>
  <si>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</si>
  <si>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</si>
  <si>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Viso</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</si>
  <si>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</si>
  <si>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</si>
  <si>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</si>
  <si>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</si>
  <si>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</si>
  <si>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</si>
  <si>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</si>
  <si>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</si>
  <si>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</si>
  <si>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</si>
  <si>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</si>
  <si>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</si>
  <si>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</si>
  <si>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</si>
  <si>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</si>
  <si>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</si>
  <si>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</si>
  <si>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</si>
  <si>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</si>
  <si>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</si>
  <si>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</si>
  <si>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</si>
  <si>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</si>
  <si>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</si>
  <si>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</si>
  <si>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</si>
  <si>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</si>
  <si>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</si>
  <si>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</si>
  <si>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</si>
  <si>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</si>
  <si>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</si>
  <si>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</si>
  <si>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</si>
  <si>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</si>
  <si>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</si>
  <si>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</si>
  <si>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</si>
  <si>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</si>
  <si>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</si>
  <si>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</si>
  <si>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</si>
  <si>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</si>
  <si>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</si>
  <si>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</si>
  <si>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</si>
  <si>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</si>
  <si>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</si>
  <si>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</si>
  <si>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</si>
  <si>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</si>
  <si>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</si>
  <si>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</si>
  <si>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</si>
  <si>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</si>
  <si>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</si>
  <si>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</si>
  <si>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</si>
  <si>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</si>
  <si>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</si>
  <si>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</si>
  <si>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</si>
  <si>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</si>
  <si>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</si>
  <si>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</si>
  <si>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</si>
  <si>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</si>
  <si>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</si>
  <si>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</si>
  <si>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</si>
  <si>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</si>
  <si>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</si>
  <si>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</si>
  <si>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</si>
  <si>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</si>
  <si>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</si>
  <si>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</si>
  <si>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</si>
  <si>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</si>
  <si>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</si>
  <si>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</si>
  <si>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</si>
  <si>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</si>
  <si>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</si>
  <si>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</si>
  <si>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</si>
  <si>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</si>
  <si>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</si>
  <si>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</si>
  <si>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</si>
  <si>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</si>
  <si>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</si>
  <si>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</si>
  <si>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</si>
  <si>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</si>
  <si>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</si>
  <si>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</si>
  <si>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</si>
  <si>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</si>
  <si>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</si>
  <si>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</si>
  <si>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</si>
  <si>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</si>
  <si>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</si>
  <si>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</si>
  <si>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</si>
  <si>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</si>
  <si>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</si>
  <si>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</si>
  <si>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</si>
  <si>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</si>
  <si>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</si>
  <si>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</si>
  <si>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</si>
  <si>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</si>
  <si>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</si>
  <si>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</si>
  <si>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</si>
  <si>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</si>
  <si>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</si>
  <si>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</si>
  <si>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</si>
  <si>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</si>
  <si>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</si>
  <si>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</si>
  <si>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</si>
  <si>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</si>
  <si>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</si>
  <si>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</si>
  <si>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</si>
  <si>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</si>
  <si>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</si>
  <si>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Patvirtinta paraiška</t>
  </si>
  <si>
    <t>Baigtas 2018-06-19</t>
  </si>
  <si>
    <t>Ruošiama sutartis</t>
  </si>
  <si>
    <t>05.4.1-LVPA-R-821-91-0002</t>
  </si>
  <si>
    <t>05.4.1-LVPA-R-821-91-0004</t>
  </si>
  <si>
    <t>05.4.1-LVPA-R-821-91-0003</t>
  </si>
  <si>
    <t>Paraiškos vertinimas</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</si>
  <si>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</si>
  <si>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</si>
  <si>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</si>
  <si>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R02-9906-290000-1119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</si>
  <si>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</si>
  <si>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</si>
  <si>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</si>
  <si>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 xml:space="preserve">Projektu ketinama likviduoti aštuonis bešeimininkius statinius: karvides, veršidę, neatpažintą statinį, siloso tranšėją, daržinę bei arkinį sandėlį. Statiniai yra greta rajoninių kelių (iki 3 km atstumu). Likvidavus šiuos statinius bus pagerinta vietos kraštovaizdžio būklė didinant kraštovaizdžio vizualinį estetinį potencialą. </t>
  </si>
  <si>
    <t>Pr+B1:E118ojekto Nr.</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</si>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</sst>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5"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4">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24" fillId="0" borderId="1" xfId="0" applyFont="1" applyFill="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10" fillId="0" borderId="1" xfId="0" applyNumberFormat="1" applyFont="1" applyFill="1" applyBorder="1" applyAlignment="1">
      <alignment vertical="top"/>
    </xf>
    <xf numFmtId="0" fontId="10" fillId="0" borderId="1" xfId="0" applyFont="1" applyFill="1" applyBorder="1" applyAlignment="1">
      <alignment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4" fontId="43" fillId="0" borderId="1" xfId="0" applyNumberFormat="1" applyFont="1" applyBorder="1"/>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27" fillId="0" borderId="0" xfId="0" applyFont="1" applyAlignment="1">
      <alignment vertical="center" wrapText="1"/>
    </xf>
    <xf numFmtId="0" fontId="0" fillId="0" borderId="0" xfId="0" applyAlignment="1">
      <alignment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0"/>
  <sheetViews>
    <sheetView zoomScale="90" zoomScaleNormal="90" workbookViewId="0">
      <pane ySplit="7" topLeftCell="A8" activePane="bottomLeft" state="frozen"/>
      <selection pane="bottomLeft" activeCell="J86" sqref="J86"/>
    </sheetView>
  </sheetViews>
  <sheetFormatPr defaultRowHeight="15" x14ac:dyDescent="0.25"/>
  <cols>
    <col min="1" max="1" width="4.42578125" style="6" customWidth="1"/>
    <col min="2" max="2" width="10.28515625" style="6" customWidth="1"/>
    <col min="3" max="3" width="12.28515625" style="6" customWidth="1"/>
    <col min="4" max="4" width="12.42578125" style="6" customWidth="1"/>
    <col min="5" max="5" width="10.85546875" style="6" customWidth="1"/>
    <col min="6" max="6" width="12" style="6" customWidth="1"/>
    <col min="7" max="7" width="12.5703125" style="6" customWidth="1"/>
    <col min="8" max="8" width="12.42578125" style="6" customWidth="1"/>
    <col min="9" max="9" width="9.140625" style="6"/>
    <col min="10" max="12" width="11" style="6" customWidth="1"/>
    <col min="13" max="15" width="9.140625" style="6"/>
    <col min="16" max="16" width="13" style="6" customWidth="1"/>
    <col min="17" max="18" width="12.7109375" style="6" customWidth="1"/>
    <col min="19" max="19" width="12.85546875" style="6" customWidth="1"/>
    <col min="20" max="21" width="9.140625" style="6"/>
    <col min="22" max="22" width="12.7109375" style="6" bestFit="1" customWidth="1"/>
    <col min="23" max="25" width="9.140625" style="6"/>
    <col min="26" max="26" width="12.85546875" style="6" customWidth="1"/>
    <col min="27" max="16384" width="9.140625" style="6"/>
  </cols>
  <sheetData>
    <row r="1" spans="2:26" ht="15.75" x14ac:dyDescent="0.25">
      <c r="J1" s="7"/>
      <c r="K1" s="7"/>
      <c r="L1" s="7"/>
      <c r="N1" s="7"/>
      <c r="O1" s="7"/>
      <c r="P1" s="7" t="s">
        <v>9</v>
      </c>
      <c r="Q1" s="7"/>
      <c r="R1" s="7"/>
      <c r="S1" s="7"/>
    </row>
    <row r="2" spans="2:26" ht="15.75" x14ac:dyDescent="0.25">
      <c r="J2" s="8"/>
      <c r="K2" s="8"/>
      <c r="L2" s="8"/>
      <c r="N2" s="8"/>
      <c r="O2" s="8"/>
      <c r="P2" s="8" t="s">
        <v>1</v>
      </c>
      <c r="Q2" s="8"/>
      <c r="R2" s="8"/>
      <c r="S2" s="8"/>
    </row>
    <row r="3" spans="2:26" ht="15.75" x14ac:dyDescent="0.25">
      <c r="J3" s="8"/>
      <c r="K3" s="8"/>
      <c r="L3" s="8"/>
      <c r="N3" s="8"/>
      <c r="O3" s="8"/>
      <c r="P3" s="8" t="s">
        <v>2</v>
      </c>
      <c r="Q3" s="8"/>
      <c r="R3" s="8"/>
      <c r="S3" s="8"/>
    </row>
    <row r="4" spans="2:26" ht="15.75" x14ac:dyDescent="0.25">
      <c r="B4" s="5" t="s">
        <v>34</v>
      </c>
      <c r="J4" s="8"/>
      <c r="K4" s="8"/>
      <c r="L4" s="8"/>
      <c r="N4" s="8"/>
      <c r="O4" s="8"/>
      <c r="P4" s="8"/>
      <c r="Q4" s="8"/>
      <c r="R4" s="8"/>
      <c r="S4" s="8"/>
    </row>
    <row r="5" spans="2:26" ht="15.75" x14ac:dyDescent="0.25">
      <c r="B5" s="9" t="s">
        <v>43</v>
      </c>
    </row>
    <row r="6" spans="2:26" ht="54.75" customHeight="1" x14ac:dyDescent="0.25">
      <c r="B6" s="356" t="s">
        <v>46</v>
      </c>
      <c r="C6" s="358"/>
      <c r="D6" s="358"/>
      <c r="E6" s="358"/>
      <c r="F6" s="358"/>
      <c r="G6" s="358"/>
      <c r="H6" s="358"/>
      <c r="I6" s="358"/>
      <c r="J6" s="358"/>
      <c r="K6" s="358"/>
      <c r="L6" s="358"/>
      <c r="M6" s="357"/>
      <c r="N6" s="356" t="s">
        <v>8</v>
      </c>
      <c r="O6" s="357"/>
      <c r="P6" s="359" t="s">
        <v>10</v>
      </c>
      <c r="Q6" s="360"/>
      <c r="R6" s="360"/>
      <c r="S6" s="360"/>
    </row>
    <row r="7" spans="2:26" ht="91.5" customHeight="1" x14ac:dyDescent="0.25">
      <c r="B7" s="343" t="s">
        <v>19</v>
      </c>
      <c r="C7" s="343" t="s">
        <v>27</v>
      </c>
      <c r="D7" s="343" t="s">
        <v>14</v>
      </c>
      <c r="E7" s="343" t="s">
        <v>5</v>
      </c>
      <c r="F7" s="343" t="s">
        <v>18</v>
      </c>
      <c r="G7" s="343" t="s">
        <v>3</v>
      </c>
      <c r="H7" s="11" t="s">
        <v>28</v>
      </c>
      <c r="I7" s="343" t="s">
        <v>29</v>
      </c>
      <c r="J7" s="343" t="s">
        <v>30</v>
      </c>
      <c r="K7" s="343" t="s">
        <v>31</v>
      </c>
      <c r="L7" s="343" t="s">
        <v>32</v>
      </c>
      <c r="M7" s="343" t="s">
        <v>33</v>
      </c>
      <c r="N7" s="343" t="s">
        <v>6</v>
      </c>
      <c r="O7" s="343" t="s">
        <v>7</v>
      </c>
      <c r="P7" s="343" t="s">
        <v>42</v>
      </c>
      <c r="Q7" s="14" t="s">
        <v>49</v>
      </c>
      <c r="R7" s="14" t="s">
        <v>47</v>
      </c>
      <c r="S7" s="14" t="s">
        <v>35</v>
      </c>
    </row>
    <row r="8" spans="2:26" ht="13.5" customHeight="1" x14ac:dyDescent="0.2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hidden="1" customHeight="1" x14ac:dyDescent="0.25">
      <c r="B9" s="15" t="s">
        <v>0</v>
      </c>
      <c r="C9" s="15"/>
      <c r="D9" s="15" t="s">
        <v>50</v>
      </c>
      <c r="E9" s="15"/>
      <c r="F9" s="15"/>
      <c r="G9" s="15"/>
      <c r="H9" s="15"/>
      <c r="I9" s="15"/>
      <c r="J9" s="15"/>
      <c r="K9" s="15"/>
      <c r="L9" s="15"/>
      <c r="M9" s="15"/>
      <c r="N9" s="15"/>
      <c r="O9" s="15"/>
      <c r="P9" s="15"/>
      <c r="Q9" s="15"/>
      <c r="R9" s="15"/>
      <c r="S9" s="15"/>
    </row>
    <row r="10" spans="2:26" ht="213.75" hidden="1" customHeight="1" x14ac:dyDescent="0.25">
      <c r="B10" s="16" t="s">
        <v>51</v>
      </c>
      <c r="C10" s="17"/>
      <c r="D10" s="18" t="s">
        <v>52</v>
      </c>
      <c r="E10" s="17"/>
      <c r="F10" s="16"/>
      <c r="G10" s="16"/>
      <c r="H10" s="17"/>
      <c r="I10" s="16"/>
      <c r="J10" s="17"/>
      <c r="K10" s="17"/>
      <c r="L10" s="16"/>
      <c r="M10" s="16"/>
      <c r="N10" s="16"/>
      <c r="O10" s="17"/>
      <c r="P10" s="16"/>
      <c r="Q10" s="17"/>
      <c r="R10" s="16"/>
      <c r="S10" s="16"/>
    </row>
    <row r="11" spans="2:26" ht="128.25" hidden="1" customHeight="1" x14ac:dyDescent="0.25">
      <c r="B11" s="19" t="s">
        <v>53</v>
      </c>
      <c r="C11" s="20"/>
      <c r="D11" s="20" t="s">
        <v>54</v>
      </c>
      <c r="E11" s="20"/>
      <c r="F11" s="19"/>
      <c r="G11" s="20"/>
      <c r="H11" s="19"/>
      <c r="I11" s="20"/>
      <c r="J11" s="19"/>
      <c r="K11" s="19"/>
      <c r="L11" s="20"/>
      <c r="M11" s="20"/>
      <c r="N11" s="19"/>
      <c r="O11" s="20"/>
      <c r="P11" s="19"/>
      <c r="Q11" s="20"/>
      <c r="R11" s="19"/>
      <c r="S11" s="20"/>
    </row>
    <row r="12" spans="2:26" ht="51" hidden="1" customHeight="1" x14ac:dyDescent="0.25">
      <c r="B12" s="21" t="s">
        <v>55</v>
      </c>
      <c r="C12" s="21"/>
      <c r="D12" s="21" t="s">
        <v>56</v>
      </c>
      <c r="E12" s="21"/>
      <c r="F12" s="21"/>
      <c r="G12" s="21"/>
      <c r="H12" s="21"/>
      <c r="I12" s="21"/>
      <c r="J12" s="21"/>
      <c r="K12" s="21"/>
      <c r="L12" s="21"/>
      <c r="M12" s="21"/>
      <c r="N12" s="21"/>
      <c r="O12" s="21"/>
      <c r="P12" s="275">
        <f>P13+P14+P15+P16+P17+P18+P19+P20+P21+P22+P23+P24+P25+P26+P27+P28+P29+P30+P31</f>
        <v>16877939.060000002</v>
      </c>
      <c r="Q12" s="275">
        <f t="shared" ref="Q12:S12" si="0">Q13+Q14+Q15+Q16+Q17+Q18+Q19+Q20+Q21+Q22+Q23+Q24+Q25+Q26+Q27+Q28+Q29+Q30+Q31</f>
        <v>12068900.260000002</v>
      </c>
      <c r="R12" s="275">
        <f t="shared" si="0"/>
        <v>1058564.48</v>
      </c>
      <c r="S12" s="275">
        <f t="shared" si="0"/>
        <v>3750474.3199999994</v>
      </c>
    </row>
    <row r="13" spans="2:26" ht="74.25" hidden="1" customHeight="1" x14ac:dyDescent="0.25">
      <c r="B13" s="12" t="s">
        <v>57</v>
      </c>
      <c r="C13" s="12" t="s">
        <v>58</v>
      </c>
      <c r="D13" s="26" t="s">
        <v>59</v>
      </c>
      <c r="E13" s="26" t="s">
        <v>60</v>
      </c>
      <c r="F13" s="26" t="s">
        <v>61</v>
      </c>
      <c r="G13" s="26" t="s">
        <v>62</v>
      </c>
      <c r="H13" s="23" t="s">
        <v>63</v>
      </c>
      <c r="I13" s="23" t="s">
        <v>64</v>
      </c>
      <c r="J13" s="23" t="s">
        <v>65</v>
      </c>
      <c r="K13" s="23" t="s">
        <v>66</v>
      </c>
      <c r="L13" s="23" t="s">
        <v>66</v>
      </c>
      <c r="M13" s="23" t="s">
        <v>66</v>
      </c>
      <c r="N13" s="24" t="s">
        <v>69</v>
      </c>
      <c r="O13" s="24">
        <v>2020</v>
      </c>
      <c r="P13" s="23">
        <v>2463370.09</v>
      </c>
      <c r="Q13" s="23">
        <v>1441407.94</v>
      </c>
      <c r="R13" s="23">
        <v>127183.06</v>
      </c>
      <c r="S13" s="23">
        <f>P13-Q13-R13</f>
        <v>894779.08999999985</v>
      </c>
    </row>
    <row r="14" spans="2:26" ht="78" hidden="1" customHeight="1" x14ac:dyDescent="0.25">
      <c r="B14" s="12" t="s">
        <v>70</v>
      </c>
      <c r="C14" s="12" t="s">
        <v>71</v>
      </c>
      <c r="D14" s="26" t="s">
        <v>72</v>
      </c>
      <c r="E14" s="26" t="s">
        <v>60</v>
      </c>
      <c r="F14" s="26" t="s">
        <v>61</v>
      </c>
      <c r="G14" s="26" t="s">
        <v>73</v>
      </c>
      <c r="H14" s="23" t="s">
        <v>63</v>
      </c>
      <c r="I14" s="23" t="s">
        <v>64</v>
      </c>
      <c r="J14" s="23" t="s">
        <v>65</v>
      </c>
      <c r="K14" s="23" t="s">
        <v>66</v>
      </c>
      <c r="L14" s="23" t="s">
        <v>66</v>
      </c>
      <c r="M14" s="23" t="s">
        <v>66</v>
      </c>
      <c r="N14" s="24" t="s">
        <v>74</v>
      </c>
      <c r="O14" s="24">
        <v>2019</v>
      </c>
      <c r="P14" s="23">
        <v>1142588.6399999999</v>
      </c>
      <c r="Q14" s="23">
        <v>876544.37</v>
      </c>
      <c r="R14" s="23">
        <v>56523.41</v>
      </c>
      <c r="S14" s="23">
        <f t="shared" ref="S14:S25" si="1">P14-Q14-R14</f>
        <v>209520.8599999999</v>
      </c>
    </row>
    <row r="15" spans="2:26" ht="90" hidden="1" customHeight="1" x14ac:dyDescent="0.2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si="1"/>
        <v>50058.080000000024</v>
      </c>
      <c r="Z15" s="6" t="s">
        <v>220</v>
      </c>
    </row>
    <row r="16" spans="2:26" ht="74.25" hidden="1" customHeight="1" x14ac:dyDescent="0.25">
      <c r="B16" s="12" t="s">
        <v>80</v>
      </c>
      <c r="C16" s="12" t="s">
        <v>81</v>
      </c>
      <c r="D16" s="26" t="s">
        <v>82</v>
      </c>
      <c r="E16" s="26" t="s">
        <v>83</v>
      </c>
      <c r="F16" s="26" t="s">
        <v>84</v>
      </c>
      <c r="G16" s="26" t="s">
        <v>85</v>
      </c>
      <c r="H16" s="23" t="s">
        <v>63</v>
      </c>
      <c r="I16" s="23" t="s">
        <v>86</v>
      </c>
      <c r="J16" s="23" t="s">
        <v>30</v>
      </c>
      <c r="K16" s="23" t="s">
        <v>87</v>
      </c>
      <c r="L16" s="23" t="s">
        <v>87</v>
      </c>
      <c r="M16" s="23" t="s">
        <v>66</v>
      </c>
      <c r="N16" s="25" t="s">
        <v>89</v>
      </c>
      <c r="O16" s="25">
        <v>2023</v>
      </c>
      <c r="P16" s="23">
        <f>Q16+R16+S16</f>
        <v>1429370.24</v>
      </c>
      <c r="Q16" s="23">
        <v>1212468</v>
      </c>
      <c r="R16" s="23">
        <v>106983</v>
      </c>
      <c r="S16" s="23">
        <v>109919.24</v>
      </c>
    </row>
    <row r="17" spans="2:24" ht="125.25" hidden="1" customHeight="1" x14ac:dyDescent="0.25">
      <c r="B17" s="12" t="s">
        <v>90</v>
      </c>
      <c r="C17" s="12" t="s">
        <v>91</v>
      </c>
      <c r="D17" s="26" t="s">
        <v>92</v>
      </c>
      <c r="E17" s="26" t="s">
        <v>93</v>
      </c>
      <c r="F17" s="26" t="s">
        <v>61</v>
      </c>
      <c r="G17" s="26" t="s">
        <v>94</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66" hidden="1" customHeight="1" x14ac:dyDescent="0.25">
      <c r="B18" s="12" t="s">
        <v>95</v>
      </c>
      <c r="C18" s="12" t="s">
        <v>96</v>
      </c>
      <c r="D18" s="26" t="s">
        <v>97</v>
      </c>
      <c r="E18" s="26" t="s">
        <v>93</v>
      </c>
      <c r="F18" s="26" t="s">
        <v>61</v>
      </c>
      <c r="G18" s="26" t="s">
        <v>94</v>
      </c>
      <c r="H18" s="26" t="s">
        <v>63</v>
      </c>
      <c r="I18" s="26" t="s">
        <v>64</v>
      </c>
      <c r="J18" s="26" t="s">
        <v>65</v>
      </c>
      <c r="K18" s="26" t="s">
        <v>66</v>
      </c>
      <c r="L18" s="26" t="s">
        <v>66</v>
      </c>
      <c r="M18" s="23" t="s">
        <v>66</v>
      </c>
      <c r="N18" s="25" t="s">
        <v>98</v>
      </c>
      <c r="O18" s="25">
        <v>2020</v>
      </c>
      <c r="P18" s="26">
        <v>342043.32</v>
      </c>
      <c r="Q18" s="26">
        <v>239999.57</v>
      </c>
      <c r="R18" s="26">
        <v>21176.43</v>
      </c>
      <c r="S18" s="23">
        <f t="shared" si="1"/>
        <v>80867.320000000007</v>
      </c>
    </row>
    <row r="19" spans="2:24" s="27" customFormat="1" ht="92.25" hidden="1" customHeight="1" x14ac:dyDescent="0.25">
      <c r="B19" s="12" t="s">
        <v>99</v>
      </c>
      <c r="C19" s="12" t="s">
        <v>100</v>
      </c>
      <c r="D19" s="26" t="s">
        <v>101</v>
      </c>
      <c r="E19" s="26" t="s">
        <v>102</v>
      </c>
      <c r="F19" s="26" t="s">
        <v>84</v>
      </c>
      <c r="G19" s="26" t="s">
        <v>103</v>
      </c>
      <c r="H19" s="26" t="s">
        <v>63</v>
      </c>
      <c r="I19" s="26" t="s">
        <v>86</v>
      </c>
      <c r="J19" s="26" t="s">
        <v>30</v>
      </c>
      <c r="K19" s="26" t="s">
        <v>87</v>
      </c>
      <c r="L19" s="26" t="s">
        <v>87</v>
      </c>
      <c r="M19" s="26" t="s">
        <v>66</v>
      </c>
      <c r="N19" s="25">
        <v>2020</v>
      </c>
      <c r="O19" s="25">
        <v>2021</v>
      </c>
      <c r="P19" s="26">
        <v>891263.89</v>
      </c>
      <c r="Q19" s="26">
        <v>703501.72</v>
      </c>
      <c r="R19" s="26">
        <v>62073.68</v>
      </c>
      <c r="S19" s="26">
        <f t="shared" si="1"/>
        <v>125688.49000000005</v>
      </c>
      <c r="T19" s="6"/>
      <c r="U19" s="6"/>
      <c r="V19" s="6"/>
      <c r="W19" s="6"/>
      <c r="X19" s="6"/>
    </row>
    <row r="20" spans="2:24" s="27" customFormat="1" ht="156.75" hidden="1" customHeight="1" x14ac:dyDescent="0.25">
      <c r="B20" s="12" t="s">
        <v>106</v>
      </c>
      <c r="C20" s="12" t="s">
        <v>107</v>
      </c>
      <c r="D20" s="26" t="s">
        <v>108</v>
      </c>
      <c r="E20" s="26" t="s">
        <v>102</v>
      </c>
      <c r="F20" s="26" t="s">
        <v>84</v>
      </c>
      <c r="G20" s="26" t="s">
        <v>103</v>
      </c>
      <c r="H20" s="26" t="s">
        <v>63</v>
      </c>
      <c r="I20" s="26" t="s">
        <v>64</v>
      </c>
      <c r="J20" s="26" t="s">
        <v>65</v>
      </c>
      <c r="K20" s="26" t="s">
        <v>66</v>
      </c>
      <c r="L20" s="26" t="s">
        <v>66</v>
      </c>
      <c r="M20" s="26" t="s">
        <v>66</v>
      </c>
      <c r="N20" s="25" t="s">
        <v>110</v>
      </c>
      <c r="O20" s="25">
        <v>2020</v>
      </c>
      <c r="P20" s="26">
        <v>608050.61</v>
      </c>
      <c r="Q20" s="26">
        <v>502479.08</v>
      </c>
      <c r="R20" s="26">
        <v>44336.39</v>
      </c>
      <c r="S20" s="26">
        <v>61235.14</v>
      </c>
      <c r="T20" s="6"/>
      <c r="U20" s="6"/>
      <c r="V20" s="6"/>
      <c r="W20" s="6"/>
      <c r="X20" s="6"/>
    </row>
    <row r="21" spans="2:24" s="27" customFormat="1" ht="69.75" hidden="1" customHeight="1" x14ac:dyDescent="0.25">
      <c r="B21" s="12" t="s">
        <v>111</v>
      </c>
      <c r="C21" s="12" t="s">
        <v>112</v>
      </c>
      <c r="D21" s="26" t="s">
        <v>113</v>
      </c>
      <c r="E21" s="26" t="s">
        <v>93</v>
      </c>
      <c r="F21" s="26" t="s">
        <v>61</v>
      </c>
      <c r="G21" s="26" t="s">
        <v>94</v>
      </c>
      <c r="H21" s="26" t="s">
        <v>63</v>
      </c>
      <c r="I21" s="26" t="s">
        <v>64</v>
      </c>
      <c r="J21" s="26" t="s">
        <v>65</v>
      </c>
      <c r="K21" s="26" t="s">
        <v>66</v>
      </c>
      <c r="L21" s="26" t="s">
        <v>66</v>
      </c>
      <c r="M21" s="26" t="s">
        <v>66</v>
      </c>
      <c r="N21" s="25" t="s">
        <v>114</v>
      </c>
      <c r="O21" s="25">
        <v>2020</v>
      </c>
      <c r="P21" s="26">
        <v>1108787.51</v>
      </c>
      <c r="Q21" s="26">
        <v>700000</v>
      </c>
      <c r="R21" s="26">
        <v>61765</v>
      </c>
      <c r="S21" s="26">
        <f t="shared" si="1"/>
        <v>347022.51</v>
      </c>
      <c r="T21" s="6"/>
      <c r="U21" s="6"/>
      <c r="V21" s="6"/>
      <c r="W21" s="6"/>
      <c r="X21" s="6"/>
    </row>
    <row r="22" spans="2:24" s="27" customFormat="1" ht="69.75" hidden="1" customHeight="1" x14ac:dyDescent="0.25">
      <c r="B22" s="12" t="s">
        <v>115</v>
      </c>
      <c r="C22" s="12" t="s">
        <v>116</v>
      </c>
      <c r="D22" s="26" t="s">
        <v>117</v>
      </c>
      <c r="E22" s="26" t="s">
        <v>102</v>
      </c>
      <c r="F22" s="26" t="s">
        <v>84</v>
      </c>
      <c r="G22" s="26" t="s">
        <v>103</v>
      </c>
      <c r="H22" s="26" t="s">
        <v>63</v>
      </c>
      <c r="I22" s="26" t="s">
        <v>86</v>
      </c>
      <c r="J22" s="26" t="s">
        <v>30</v>
      </c>
      <c r="K22" s="26" t="s">
        <v>87</v>
      </c>
      <c r="L22" s="26" t="s">
        <v>87</v>
      </c>
      <c r="M22" s="26" t="s">
        <v>66</v>
      </c>
      <c r="N22" s="25" t="s">
        <v>118</v>
      </c>
      <c r="O22" s="25">
        <v>2021</v>
      </c>
      <c r="P22" s="26">
        <v>1365071.92</v>
      </c>
      <c r="Q22" s="26">
        <v>865499.4</v>
      </c>
      <c r="R22" s="26">
        <v>76367.600000000006</v>
      </c>
      <c r="S22" s="26">
        <f t="shared" si="1"/>
        <v>423204.91999999993</v>
      </c>
      <c r="T22" s="6"/>
      <c r="U22" s="6"/>
      <c r="V22" s="6"/>
      <c r="W22" s="6"/>
      <c r="X22" s="6"/>
    </row>
    <row r="23" spans="2:24" s="27" customFormat="1" ht="103.5" hidden="1" customHeight="1" x14ac:dyDescent="0.25">
      <c r="B23" s="12" t="s">
        <v>119</v>
      </c>
      <c r="C23" s="12" t="s">
        <v>120</v>
      </c>
      <c r="D23" s="26" t="s">
        <v>121</v>
      </c>
      <c r="E23" s="26" t="s">
        <v>102</v>
      </c>
      <c r="F23" s="26" t="s">
        <v>84</v>
      </c>
      <c r="G23" s="26" t="s">
        <v>103</v>
      </c>
      <c r="H23" s="26" t="s">
        <v>63</v>
      </c>
      <c r="I23" s="26" t="s">
        <v>86</v>
      </c>
      <c r="J23" s="26" t="s">
        <v>30</v>
      </c>
      <c r="K23" s="26" t="s">
        <v>87</v>
      </c>
      <c r="L23" s="26" t="s">
        <v>87</v>
      </c>
      <c r="M23" s="26" t="s">
        <v>66</v>
      </c>
      <c r="N23" s="25">
        <v>2020</v>
      </c>
      <c r="O23" s="25">
        <v>2021</v>
      </c>
      <c r="P23" s="26">
        <v>332642.24</v>
      </c>
      <c r="Q23" s="26">
        <v>282745.90000000002</v>
      </c>
      <c r="R23" s="26">
        <v>24948.17</v>
      </c>
      <c r="S23" s="26">
        <f t="shared" si="1"/>
        <v>24948.169999999969</v>
      </c>
      <c r="T23" s="6"/>
      <c r="U23" s="6"/>
      <c r="V23" s="6"/>
      <c r="W23" s="6"/>
      <c r="X23" s="6"/>
    </row>
    <row r="24" spans="2:24" ht="87.75" hidden="1" customHeight="1" x14ac:dyDescent="0.25">
      <c r="B24" s="12" t="s">
        <v>123</v>
      </c>
      <c r="C24" s="12" t="s">
        <v>124</v>
      </c>
      <c r="D24" s="26" t="s">
        <v>125</v>
      </c>
      <c r="E24" s="26" t="s">
        <v>93</v>
      </c>
      <c r="F24" s="26" t="s">
        <v>61</v>
      </c>
      <c r="G24" s="26" t="s">
        <v>94</v>
      </c>
      <c r="H24" s="26" t="s">
        <v>63</v>
      </c>
      <c r="I24" s="26" t="s">
        <v>64</v>
      </c>
      <c r="J24" s="26" t="s">
        <v>65</v>
      </c>
      <c r="K24" s="26" t="s">
        <v>66</v>
      </c>
      <c r="L24" s="26" t="s">
        <v>66</v>
      </c>
      <c r="M24" s="26" t="s">
        <v>66</v>
      </c>
      <c r="N24" s="25" t="s">
        <v>67</v>
      </c>
      <c r="O24" s="25">
        <v>2019</v>
      </c>
      <c r="P24" s="26">
        <v>945911.74</v>
      </c>
      <c r="Q24" s="26">
        <v>797703.56</v>
      </c>
      <c r="R24" s="26">
        <v>70385.61</v>
      </c>
      <c r="S24" s="26">
        <f t="shared" si="1"/>
        <v>77822.569999999934</v>
      </c>
    </row>
    <row r="25" spans="2:24" ht="91.5" hidden="1" customHeight="1" x14ac:dyDescent="0.25">
      <c r="B25" s="12" t="s">
        <v>127</v>
      </c>
      <c r="C25" s="12" t="s">
        <v>128</v>
      </c>
      <c r="D25" s="26" t="s">
        <v>129</v>
      </c>
      <c r="E25" s="26" t="s">
        <v>93</v>
      </c>
      <c r="F25" s="26" t="s">
        <v>61</v>
      </c>
      <c r="G25" s="26" t="s">
        <v>94</v>
      </c>
      <c r="H25" s="26" t="s">
        <v>63</v>
      </c>
      <c r="I25" s="26" t="s">
        <v>64</v>
      </c>
      <c r="J25" s="26" t="s">
        <v>65</v>
      </c>
      <c r="K25" s="26" t="s">
        <v>66</v>
      </c>
      <c r="L25" s="26" t="s">
        <v>66</v>
      </c>
      <c r="M25" s="23" t="s">
        <v>66</v>
      </c>
      <c r="N25" s="25" t="s">
        <v>98</v>
      </c>
      <c r="O25" s="25">
        <v>2020</v>
      </c>
      <c r="P25" s="47">
        <v>491841.82</v>
      </c>
      <c r="Q25" s="26">
        <v>323702.96999999997</v>
      </c>
      <c r="R25" s="26">
        <v>28562.03</v>
      </c>
      <c r="S25" s="49">
        <f t="shared" si="1"/>
        <v>139576.82000000004</v>
      </c>
    </row>
    <row r="26" spans="2:24" ht="78.75" hidden="1" customHeight="1" x14ac:dyDescent="0.25">
      <c r="B26" s="12" t="s">
        <v>130</v>
      </c>
      <c r="C26" s="12" t="s">
        <v>131</v>
      </c>
      <c r="D26" s="26" t="s">
        <v>132</v>
      </c>
      <c r="E26" s="23" t="s">
        <v>102</v>
      </c>
      <c r="F26" s="23" t="s">
        <v>84</v>
      </c>
      <c r="G26" s="23" t="s">
        <v>103</v>
      </c>
      <c r="H26" s="23" t="s">
        <v>63</v>
      </c>
      <c r="I26" s="23" t="s">
        <v>86</v>
      </c>
      <c r="J26" s="23" t="s">
        <v>30</v>
      </c>
      <c r="K26" s="23" t="s">
        <v>87</v>
      </c>
      <c r="L26" s="23" t="s">
        <v>87</v>
      </c>
      <c r="M26" s="23" t="s">
        <v>66</v>
      </c>
      <c r="N26" s="24" t="s">
        <v>118</v>
      </c>
      <c r="O26" s="24">
        <v>2020</v>
      </c>
      <c r="P26" s="23">
        <v>511945.15</v>
      </c>
      <c r="Q26" s="23">
        <v>435153.38</v>
      </c>
      <c r="R26" s="23">
        <v>38395.89</v>
      </c>
      <c r="S26" s="23">
        <v>38395.879999999997</v>
      </c>
      <c r="V26" s="353"/>
      <c r="W26" s="353"/>
    </row>
    <row r="27" spans="2:24" s="27" customFormat="1" ht="78.75" hidden="1" customHeight="1" x14ac:dyDescent="0.25">
      <c r="B27" s="12" t="s">
        <v>1473</v>
      </c>
      <c r="C27" s="12" t="s">
        <v>1474</v>
      </c>
      <c r="D27" s="26" t="s">
        <v>1475</v>
      </c>
      <c r="E27" s="26" t="s">
        <v>145</v>
      </c>
      <c r="F27" s="26" t="s">
        <v>61</v>
      </c>
      <c r="G27" s="26" t="s">
        <v>549</v>
      </c>
      <c r="H27" s="26" t="s">
        <v>1476</v>
      </c>
      <c r="I27" s="26" t="s">
        <v>148</v>
      </c>
      <c r="J27" s="26" t="s">
        <v>65</v>
      </c>
      <c r="K27" s="26" t="s">
        <v>66</v>
      </c>
      <c r="L27" s="26" t="s">
        <v>66</v>
      </c>
      <c r="M27" s="26" t="s">
        <v>66</v>
      </c>
      <c r="N27" s="25" t="s">
        <v>1191</v>
      </c>
      <c r="O27" s="25">
        <v>2023</v>
      </c>
      <c r="P27" s="26">
        <v>400000</v>
      </c>
      <c r="Q27" s="26">
        <v>290000</v>
      </c>
      <c r="R27" s="26">
        <v>25588.240000000002</v>
      </c>
      <c r="S27" s="26">
        <v>84411.76</v>
      </c>
      <c r="V27" s="354"/>
      <c r="W27" s="354"/>
    </row>
    <row r="28" spans="2:24" s="27" customFormat="1" ht="114.75" hidden="1" customHeight="1" x14ac:dyDescent="0.25">
      <c r="B28" s="12" t="s">
        <v>1477</v>
      </c>
      <c r="C28" s="12" t="s">
        <v>1478</v>
      </c>
      <c r="D28" s="26" t="s">
        <v>1479</v>
      </c>
      <c r="E28" s="26" t="s">
        <v>145</v>
      </c>
      <c r="F28" s="26" t="s">
        <v>61</v>
      </c>
      <c r="G28" s="26" t="s">
        <v>549</v>
      </c>
      <c r="H28" s="26" t="s">
        <v>1476</v>
      </c>
      <c r="I28" s="26" t="s">
        <v>148</v>
      </c>
      <c r="J28" s="26" t="s">
        <v>65</v>
      </c>
      <c r="K28" s="26" t="s">
        <v>66</v>
      </c>
      <c r="L28" s="26" t="s">
        <v>66</v>
      </c>
      <c r="M28" s="26" t="s">
        <v>66</v>
      </c>
      <c r="N28" s="25" t="s">
        <v>1191</v>
      </c>
      <c r="O28" s="25">
        <v>2023</v>
      </c>
      <c r="P28" s="26">
        <v>350000</v>
      </c>
      <c r="Q28" s="26">
        <v>253750</v>
      </c>
      <c r="R28" s="26">
        <v>22389.71</v>
      </c>
      <c r="S28" s="26">
        <v>73860.289999999994</v>
      </c>
      <c r="V28" s="354"/>
      <c r="W28" s="354"/>
    </row>
    <row r="29" spans="2:24" s="27" customFormat="1" ht="65.25" hidden="1" customHeight="1" x14ac:dyDescent="0.25">
      <c r="B29" s="12" t="s">
        <v>1480</v>
      </c>
      <c r="C29" s="12" t="s">
        <v>1481</v>
      </c>
      <c r="D29" s="26" t="s">
        <v>1482</v>
      </c>
      <c r="E29" s="26" t="s">
        <v>145</v>
      </c>
      <c r="F29" s="26" t="s">
        <v>61</v>
      </c>
      <c r="G29" s="26" t="s">
        <v>549</v>
      </c>
      <c r="H29" s="26" t="s">
        <v>1476</v>
      </c>
      <c r="I29" s="26" t="s">
        <v>148</v>
      </c>
      <c r="J29" s="26" t="s">
        <v>65</v>
      </c>
      <c r="K29" s="26" t="s">
        <v>66</v>
      </c>
      <c r="L29" s="26" t="s">
        <v>66</v>
      </c>
      <c r="M29" s="26" t="s">
        <v>66</v>
      </c>
      <c r="N29" s="25" t="s">
        <v>1191</v>
      </c>
      <c r="O29" s="25">
        <v>2023</v>
      </c>
      <c r="P29" s="26">
        <v>2400000</v>
      </c>
      <c r="Q29" s="26">
        <v>1740000</v>
      </c>
      <c r="R29" s="26">
        <v>153529.42000000001</v>
      </c>
      <c r="S29" s="26">
        <v>506470.58</v>
      </c>
      <c r="V29" s="354"/>
      <c r="W29" s="354"/>
    </row>
    <row r="30" spans="2:24" s="27" customFormat="1" ht="57" hidden="1" customHeight="1" x14ac:dyDescent="0.25">
      <c r="B30" s="12" t="s">
        <v>1483</v>
      </c>
      <c r="C30" s="12" t="s">
        <v>1484</v>
      </c>
      <c r="D30" s="26" t="s">
        <v>1485</v>
      </c>
      <c r="E30" s="26" t="s">
        <v>145</v>
      </c>
      <c r="F30" s="26" t="s">
        <v>61</v>
      </c>
      <c r="G30" s="26" t="s">
        <v>549</v>
      </c>
      <c r="H30" s="26" t="s">
        <v>1476</v>
      </c>
      <c r="I30" s="26" t="s">
        <v>148</v>
      </c>
      <c r="J30" s="26" t="s">
        <v>65</v>
      </c>
      <c r="K30" s="26" t="s">
        <v>66</v>
      </c>
      <c r="L30" s="26" t="s">
        <v>66</v>
      </c>
      <c r="M30" s="26" t="s">
        <v>66</v>
      </c>
      <c r="N30" s="25" t="s">
        <v>1191</v>
      </c>
      <c r="O30" s="25">
        <v>2023</v>
      </c>
      <c r="P30" s="26">
        <v>250000</v>
      </c>
      <c r="Q30" s="26">
        <v>181250</v>
      </c>
      <c r="R30" s="26">
        <v>15992.65</v>
      </c>
      <c r="S30" s="26">
        <v>52757.35</v>
      </c>
      <c r="V30" s="354"/>
      <c r="W30" s="354"/>
    </row>
    <row r="31" spans="2:24" s="27" customFormat="1" ht="128.25" hidden="1" customHeight="1" x14ac:dyDescent="0.25">
      <c r="B31" s="12" t="s">
        <v>1525</v>
      </c>
      <c r="C31" s="12" t="s">
        <v>1526</v>
      </c>
      <c r="D31" s="26" t="s">
        <v>1527</v>
      </c>
      <c r="E31" s="26" t="s">
        <v>93</v>
      </c>
      <c r="F31" s="26" t="s">
        <v>61</v>
      </c>
      <c r="G31" s="26" t="s">
        <v>94</v>
      </c>
      <c r="H31" s="26" t="s">
        <v>1528</v>
      </c>
      <c r="I31" s="26" t="s">
        <v>148</v>
      </c>
      <c r="J31" s="26" t="s">
        <v>65</v>
      </c>
      <c r="K31" s="26" t="s">
        <v>87</v>
      </c>
      <c r="L31" s="26" t="s">
        <v>87</v>
      </c>
      <c r="M31" s="26" t="s">
        <v>66</v>
      </c>
      <c r="N31" s="25">
        <v>2020</v>
      </c>
      <c r="O31" s="25">
        <v>2023</v>
      </c>
      <c r="P31" s="26">
        <v>191847.69</v>
      </c>
      <c r="Q31" s="26">
        <v>163070.53</v>
      </c>
      <c r="R31" s="26">
        <v>14388.58</v>
      </c>
      <c r="S31" s="26">
        <f>P31-Q31-R31</f>
        <v>14388.580000000004</v>
      </c>
      <c r="V31" s="354"/>
      <c r="W31" s="354"/>
    </row>
    <row r="32" spans="2:24" ht="77.25" hidden="1" customHeight="1" x14ac:dyDescent="0.25">
      <c r="B32" s="21" t="s">
        <v>133</v>
      </c>
      <c r="C32" s="21"/>
      <c r="D32" s="21" t="s">
        <v>134</v>
      </c>
      <c r="E32" s="21"/>
      <c r="F32" s="21"/>
      <c r="G32" s="21"/>
      <c r="H32" s="21"/>
      <c r="I32" s="21"/>
      <c r="J32" s="21"/>
      <c r="K32" s="21"/>
      <c r="L32" s="21"/>
      <c r="M32" s="21"/>
      <c r="N32" s="21"/>
      <c r="O32" s="21"/>
      <c r="P32" s="262">
        <f>P33+P34+P35</f>
        <v>4344260.07</v>
      </c>
      <c r="Q32" s="262">
        <f>Q33+Q34+Q35</f>
        <v>3441264.61</v>
      </c>
      <c r="R32" s="262">
        <f t="shared" ref="R32:S32" si="2">R33+R34+R35</f>
        <v>303639.82</v>
      </c>
      <c r="S32" s="262">
        <f t="shared" si="2"/>
        <v>599355.6399999999</v>
      </c>
    </row>
    <row r="33" spans="2:24" ht="78" hidden="1" customHeight="1" x14ac:dyDescent="0.25">
      <c r="B33" s="12" t="s">
        <v>135</v>
      </c>
      <c r="C33" s="22" t="s">
        <v>136</v>
      </c>
      <c r="D33" s="23" t="s">
        <v>137</v>
      </c>
      <c r="E33" s="23" t="s">
        <v>138</v>
      </c>
      <c r="F33" s="23" t="s">
        <v>61</v>
      </c>
      <c r="G33" s="23" t="s">
        <v>139</v>
      </c>
      <c r="H33" s="23" t="s">
        <v>140</v>
      </c>
      <c r="I33" s="23" t="s">
        <v>64</v>
      </c>
      <c r="J33" s="23" t="s">
        <v>65</v>
      </c>
      <c r="K33" s="23" t="s">
        <v>87</v>
      </c>
      <c r="L33" s="23" t="s">
        <v>87</v>
      </c>
      <c r="M33" s="23" t="s">
        <v>66</v>
      </c>
      <c r="N33" s="24" t="s">
        <v>142</v>
      </c>
      <c r="O33" s="25">
        <v>2018</v>
      </c>
      <c r="P33" s="23">
        <v>280999.21000000002</v>
      </c>
      <c r="Q33" s="23">
        <v>238849.32</v>
      </c>
      <c r="R33" s="23">
        <v>21074.94</v>
      </c>
      <c r="S33" s="23">
        <f t="shared" ref="S33:S35" si="3">P33-Q33-R33</f>
        <v>21074.950000000015</v>
      </c>
    </row>
    <row r="34" spans="2:24" ht="105" hidden="1" customHeight="1" x14ac:dyDescent="0.25">
      <c r="B34" s="12" t="s">
        <v>143</v>
      </c>
      <c r="C34" s="12" t="s">
        <v>144</v>
      </c>
      <c r="D34" s="26" t="s">
        <v>1182</v>
      </c>
      <c r="E34" s="26" t="s">
        <v>145</v>
      </c>
      <c r="F34" s="26" t="s">
        <v>61</v>
      </c>
      <c r="G34" s="26" t="s">
        <v>146</v>
      </c>
      <c r="H34" s="23" t="s">
        <v>147</v>
      </c>
      <c r="I34" s="23" t="s">
        <v>148</v>
      </c>
      <c r="J34" s="23" t="s">
        <v>65</v>
      </c>
      <c r="K34" s="23" t="s">
        <v>87</v>
      </c>
      <c r="L34" s="23" t="s">
        <v>87</v>
      </c>
      <c r="M34" s="23" t="s">
        <v>66</v>
      </c>
      <c r="N34" s="24" t="s">
        <v>67</v>
      </c>
      <c r="O34" s="25">
        <v>2020</v>
      </c>
      <c r="P34" s="23">
        <v>2967711.21</v>
      </c>
      <c r="Q34" s="23">
        <v>2333555.31</v>
      </c>
      <c r="R34" s="23">
        <v>205900.88</v>
      </c>
      <c r="S34" s="23">
        <f t="shared" si="3"/>
        <v>428255.0199999999</v>
      </c>
    </row>
    <row r="35" spans="2:24" ht="67.5" hidden="1" customHeight="1" x14ac:dyDescent="0.25">
      <c r="B35" s="12" t="s">
        <v>149</v>
      </c>
      <c r="C35" s="22" t="s">
        <v>150</v>
      </c>
      <c r="D35" s="23" t="s">
        <v>151</v>
      </c>
      <c r="E35" s="23" t="s">
        <v>152</v>
      </c>
      <c r="F35" s="23" t="s">
        <v>61</v>
      </c>
      <c r="G35" s="23" t="s">
        <v>153</v>
      </c>
      <c r="H35" s="23" t="s">
        <v>147</v>
      </c>
      <c r="I35" s="23" t="s">
        <v>148</v>
      </c>
      <c r="J35" s="23" t="s">
        <v>65</v>
      </c>
      <c r="K35" s="23" t="s">
        <v>87</v>
      </c>
      <c r="L35" s="23" t="s">
        <v>87</v>
      </c>
      <c r="M35" s="23" t="s">
        <v>66</v>
      </c>
      <c r="N35" s="24" t="s">
        <v>154</v>
      </c>
      <c r="O35" s="25">
        <v>2018</v>
      </c>
      <c r="P35" s="23">
        <v>1095549.6499999999</v>
      </c>
      <c r="Q35" s="23">
        <v>868859.98</v>
      </c>
      <c r="R35" s="26">
        <v>76664</v>
      </c>
      <c r="S35" s="23">
        <f t="shared" si="3"/>
        <v>150025.66999999993</v>
      </c>
    </row>
    <row r="36" spans="2:24" ht="211.5" hidden="1" customHeight="1" x14ac:dyDescent="0.25">
      <c r="B36" s="20" t="s">
        <v>155</v>
      </c>
      <c r="C36" s="20"/>
      <c r="D36" s="20" t="s">
        <v>156</v>
      </c>
      <c r="E36" s="20"/>
      <c r="F36" s="19"/>
      <c r="G36" s="20"/>
      <c r="H36" s="20"/>
      <c r="I36" s="20"/>
      <c r="J36" s="19"/>
      <c r="K36" s="19"/>
      <c r="L36" s="20"/>
      <c r="M36" s="20"/>
      <c r="N36" s="20"/>
      <c r="O36" s="19"/>
      <c r="P36" s="20"/>
      <c r="Q36" s="20"/>
      <c r="R36" s="20"/>
      <c r="S36" s="20"/>
    </row>
    <row r="37" spans="2:24" ht="51.75" hidden="1" customHeight="1" x14ac:dyDescent="0.25">
      <c r="B37" s="21" t="s">
        <v>157</v>
      </c>
      <c r="C37" s="21"/>
      <c r="D37" s="21" t="s">
        <v>158</v>
      </c>
      <c r="E37" s="21"/>
      <c r="F37" s="21"/>
      <c r="G37" s="21"/>
      <c r="H37" s="21"/>
      <c r="I37" s="21"/>
      <c r="J37" s="21"/>
      <c r="K37" s="21"/>
      <c r="L37" s="21"/>
      <c r="M37" s="21"/>
      <c r="N37" s="28"/>
      <c r="O37" s="21"/>
      <c r="P37" s="262">
        <f>P38</f>
        <v>895999.62</v>
      </c>
      <c r="Q37" s="262">
        <f t="shared" ref="Q37:S37" si="4">Q38</f>
        <v>761599.68</v>
      </c>
      <c r="R37" s="262">
        <f t="shared" si="4"/>
        <v>89599.96</v>
      </c>
      <c r="S37" s="262">
        <f t="shared" si="4"/>
        <v>44799.979999999938</v>
      </c>
    </row>
    <row r="38" spans="2:24" ht="119.25" hidden="1" customHeight="1" x14ac:dyDescent="0.25">
      <c r="B38" s="26" t="s">
        <v>159</v>
      </c>
      <c r="C38" s="26" t="s">
        <v>160</v>
      </c>
      <c r="D38" s="26" t="s">
        <v>161</v>
      </c>
      <c r="E38" s="26" t="s">
        <v>138</v>
      </c>
      <c r="F38" s="26" t="s">
        <v>61</v>
      </c>
      <c r="G38" s="26" t="s">
        <v>162</v>
      </c>
      <c r="H38" s="26" t="s">
        <v>163</v>
      </c>
      <c r="I38" s="26" t="s">
        <v>64</v>
      </c>
      <c r="J38" s="23" t="s">
        <v>87</v>
      </c>
      <c r="K38" s="23" t="s">
        <v>87</v>
      </c>
      <c r="L38" s="23" t="s">
        <v>87</v>
      </c>
      <c r="M38" s="23" t="s">
        <v>66</v>
      </c>
      <c r="N38" s="25" t="s">
        <v>142</v>
      </c>
      <c r="O38" s="24">
        <v>2018</v>
      </c>
      <c r="P38" s="26">
        <v>895999.62</v>
      </c>
      <c r="Q38" s="26">
        <v>761599.68</v>
      </c>
      <c r="R38" s="26">
        <v>89599.96</v>
      </c>
      <c r="S38" s="23">
        <f t="shared" ref="S38" si="5">P38-Q38-R38</f>
        <v>44799.979999999938</v>
      </c>
    </row>
    <row r="39" spans="2:24" ht="218.25" hidden="1" customHeight="1" x14ac:dyDescent="0.25">
      <c r="B39" s="20" t="s">
        <v>165</v>
      </c>
      <c r="C39" s="20"/>
      <c r="D39" s="20" t="s">
        <v>166</v>
      </c>
      <c r="E39" s="20"/>
      <c r="F39" s="20"/>
      <c r="G39" s="20"/>
      <c r="H39" s="20"/>
      <c r="I39" s="20"/>
      <c r="J39" s="20"/>
      <c r="K39" s="20"/>
      <c r="L39" s="20"/>
      <c r="M39" s="20"/>
      <c r="N39" s="20"/>
      <c r="O39" s="20"/>
      <c r="P39" s="20"/>
      <c r="Q39" s="20"/>
      <c r="R39" s="20"/>
      <c r="S39" s="20"/>
    </row>
    <row r="40" spans="2:24" ht="102" hidden="1" customHeight="1" x14ac:dyDescent="0.25">
      <c r="B40" s="21" t="s">
        <v>167</v>
      </c>
      <c r="C40" s="21"/>
      <c r="D40" s="21" t="s">
        <v>168</v>
      </c>
      <c r="E40" s="21"/>
      <c r="F40" s="21"/>
      <c r="G40" s="21"/>
      <c r="H40" s="21"/>
      <c r="I40" s="21"/>
      <c r="J40" s="21"/>
      <c r="K40" s="21"/>
      <c r="L40" s="21"/>
      <c r="M40" s="21"/>
      <c r="N40" s="21"/>
      <c r="O40" s="21"/>
      <c r="P40" s="331">
        <f>P41</f>
        <v>4165059</v>
      </c>
      <c r="Q40" s="331">
        <f t="shared" ref="Q40:S40" si="6">Q41</f>
        <v>3540300.15</v>
      </c>
      <c r="R40" s="331">
        <f t="shared" si="6"/>
        <v>624758.85000000009</v>
      </c>
      <c r="S40" s="331">
        <f t="shared" si="6"/>
        <v>0</v>
      </c>
    </row>
    <row r="41" spans="2:24" ht="85.5" hidden="1" customHeight="1" x14ac:dyDescent="0.25">
      <c r="B41" s="29" t="s">
        <v>1460</v>
      </c>
      <c r="C41" s="29"/>
      <c r="D41" s="29" t="s">
        <v>1461</v>
      </c>
      <c r="E41" s="29" t="s">
        <v>1462</v>
      </c>
      <c r="F41" s="29" t="s">
        <v>1463</v>
      </c>
      <c r="G41" s="29" t="s">
        <v>1464</v>
      </c>
      <c r="H41" s="29" t="s">
        <v>1465</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02.75" hidden="1" customHeight="1" x14ac:dyDescent="0.25">
      <c r="B42" s="21" t="s">
        <v>169</v>
      </c>
      <c r="C42" s="21"/>
      <c r="D42" s="21" t="s">
        <v>170</v>
      </c>
      <c r="E42" s="21"/>
      <c r="F42" s="21"/>
      <c r="G42" s="21"/>
      <c r="H42" s="21"/>
      <c r="I42" s="21"/>
      <c r="J42" s="21"/>
      <c r="K42" s="21"/>
      <c r="L42" s="21"/>
      <c r="M42" s="21"/>
      <c r="N42" s="21"/>
      <c r="O42" s="21"/>
      <c r="P42" s="21"/>
      <c r="Q42" s="21"/>
      <c r="R42" s="21"/>
      <c r="S42" s="21"/>
    </row>
    <row r="43" spans="2:24" ht="105" hidden="1" customHeight="1" x14ac:dyDescent="0.25">
      <c r="B43" s="16" t="s">
        <v>171</v>
      </c>
      <c r="C43" s="17"/>
      <c r="D43" s="18" t="s">
        <v>172</v>
      </c>
      <c r="E43" s="17"/>
      <c r="F43" s="16"/>
      <c r="G43" s="16"/>
      <c r="H43" s="17"/>
      <c r="I43" s="16"/>
      <c r="J43" s="17"/>
      <c r="K43" s="17"/>
      <c r="L43" s="18"/>
      <c r="M43" s="18"/>
      <c r="N43" s="16"/>
      <c r="O43" s="17"/>
      <c r="P43" s="17"/>
      <c r="Q43" s="17"/>
      <c r="R43" s="16"/>
      <c r="S43" s="16"/>
    </row>
    <row r="44" spans="2:24" ht="100.5" hidden="1" customHeight="1" x14ac:dyDescent="0.25">
      <c r="B44" s="20" t="s">
        <v>173</v>
      </c>
      <c r="C44" s="20"/>
      <c r="D44" s="20" t="s">
        <v>174</v>
      </c>
      <c r="E44" s="20"/>
      <c r="F44" s="20"/>
      <c r="G44" s="20"/>
      <c r="H44" s="20"/>
      <c r="I44" s="20"/>
      <c r="J44" s="20"/>
      <c r="K44" s="20"/>
      <c r="L44" s="20"/>
      <c r="M44" s="20"/>
      <c r="N44" s="20"/>
      <c r="O44" s="20"/>
      <c r="P44" s="20"/>
      <c r="Q44" s="20"/>
      <c r="R44" s="20"/>
      <c r="S44" s="20"/>
    </row>
    <row r="45" spans="2:24" ht="43.5" hidden="1" customHeight="1" x14ac:dyDescent="0.25">
      <c r="B45" s="21" t="s">
        <v>175</v>
      </c>
      <c r="C45" s="21"/>
      <c r="D45" s="21" t="s">
        <v>176</v>
      </c>
      <c r="E45" s="21"/>
      <c r="F45" s="21"/>
      <c r="G45" s="21"/>
      <c r="H45" s="21"/>
      <c r="I45" s="21"/>
      <c r="J45" s="21"/>
      <c r="K45" s="21"/>
      <c r="L45" s="21"/>
      <c r="M45" s="21"/>
      <c r="N45" s="21"/>
      <c r="O45" s="21"/>
      <c r="P45" s="275">
        <f>Q45+R45+S45</f>
        <v>5422592.1699999999</v>
      </c>
      <c r="Q45" s="275">
        <f>Q46+Q47+Q48+Q49+Q50+Q51+Q52+Q53+Q54+Q55+Q56+Q57+Q58</f>
        <v>3989669.44</v>
      </c>
      <c r="R45" s="275">
        <f t="shared" ref="R45:S45" si="7">R46+R47+R48+R49+R50+R51+R52+R53+R54+R55+R56+R57+R58</f>
        <v>0</v>
      </c>
      <c r="S45" s="275">
        <f t="shared" si="7"/>
        <v>1432922.7299999997</v>
      </c>
    </row>
    <row r="46" spans="2:24" s="27" customFormat="1" ht="105" hidden="1" customHeight="1" x14ac:dyDescent="0.25">
      <c r="B46" s="29" t="s">
        <v>177</v>
      </c>
      <c r="C46" s="29" t="s">
        <v>178</v>
      </c>
      <c r="D46" s="29" t="s">
        <v>179</v>
      </c>
      <c r="E46" s="29" t="s">
        <v>138</v>
      </c>
      <c r="F46" s="29" t="s">
        <v>180</v>
      </c>
      <c r="G46" s="29" t="s">
        <v>139</v>
      </c>
      <c r="H46" s="29" t="s">
        <v>181</v>
      </c>
      <c r="I46" s="29" t="s">
        <v>64</v>
      </c>
      <c r="J46" s="29" t="s">
        <v>65</v>
      </c>
      <c r="K46" s="31" t="s">
        <v>87</v>
      </c>
      <c r="L46" s="31" t="s">
        <v>87</v>
      </c>
      <c r="M46" s="31" t="s">
        <v>66</v>
      </c>
      <c r="N46" s="30" t="s">
        <v>182</v>
      </c>
      <c r="O46" s="30">
        <v>2020</v>
      </c>
      <c r="P46" s="26">
        <v>338553.02</v>
      </c>
      <c r="Q46" s="26">
        <v>287770.06</v>
      </c>
      <c r="R46" s="72">
        <v>0</v>
      </c>
      <c r="S46" s="23">
        <f t="shared" ref="S46:S56" si="8">P46-Q46-R46</f>
        <v>50782.960000000021</v>
      </c>
      <c r="T46" s="6"/>
      <c r="U46" s="6"/>
      <c r="V46" s="6"/>
      <c r="W46" s="6"/>
      <c r="X46" s="6"/>
    </row>
    <row r="47" spans="2:24" ht="70.5" hidden="1" customHeight="1" x14ac:dyDescent="0.25">
      <c r="B47" s="192" t="s">
        <v>183</v>
      </c>
      <c r="C47" s="192" t="s">
        <v>184</v>
      </c>
      <c r="D47" s="192" t="s">
        <v>185</v>
      </c>
      <c r="E47" s="192" t="s">
        <v>186</v>
      </c>
      <c r="F47" s="192" t="s">
        <v>180</v>
      </c>
      <c r="G47" s="192" t="s">
        <v>187</v>
      </c>
      <c r="H47" s="192" t="s">
        <v>181</v>
      </c>
      <c r="I47" s="192" t="s">
        <v>64</v>
      </c>
      <c r="J47" s="192" t="s">
        <v>65</v>
      </c>
      <c r="K47" s="192" t="s">
        <v>87</v>
      </c>
      <c r="L47" s="192" t="s">
        <v>87</v>
      </c>
      <c r="M47" s="192" t="s">
        <v>66</v>
      </c>
      <c r="N47" s="276" t="s">
        <v>189</v>
      </c>
      <c r="O47" s="276">
        <v>2021</v>
      </c>
      <c r="P47" s="201">
        <v>194771.6</v>
      </c>
      <c r="Q47" s="201">
        <v>127500</v>
      </c>
      <c r="R47" s="201">
        <v>0</v>
      </c>
      <c r="S47" s="201">
        <f t="shared" si="8"/>
        <v>67271.600000000006</v>
      </c>
    </row>
    <row r="48" spans="2:24" ht="150" hidden="1" customHeight="1" x14ac:dyDescent="0.25">
      <c r="B48" s="192" t="s">
        <v>190</v>
      </c>
      <c r="C48" s="192" t="s">
        <v>191</v>
      </c>
      <c r="D48" s="192" t="s">
        <v>192</v>
      </c>
      <c r="E48" s="192" t="s">
        <v>60</v>
      </c>
      <c r="F48" s="192" t="s">
        <v>180</v>
      </c>
      <c r="G48" s="192" t="s">
        <v>73</v>
      </c>
      <c r="H48" s="192" t="s">
        <v>181</v>
      </c>
      <c r="I48" s="192" t="s">
        <v>64</v>
      </c>
      <c r="J48" s="192" t="s">
        <v>65</v>
      </c>
      <c r="K48" s="192" t="s">
        <v>87</v>
      </c>
      <c r="L48" s="192" t="s">
        <v>87</v>
      </c>
      <c r="M48" s="192" t="s">
        <v>66</v>
      </c>
      <c r="N48" s="276" t="s">
        <v>193</v>
      </c>
      <c r="O48" s="276">
        <v>2019</v>
      </c>
      <c r="P48" s="201">
        <v>580141.18000000005</v>
      </c>
      <c r="Q48" s="201">
        <v>493120</v>
      </c>
      <c r="R48" s="201">
        <v>0</v>
      </c>
      <c r="S48" s="201">
        <v>87021.18</v>
      </c>
    </row>
    <row r="49" spans="2:26" ht="107.25" hidden="1" customHeight="1" x14ac:dyDescent="0.25">
      <c r="B49" s="192" t="s">
        <v>194</v>
      </c>
      <c r="C49" s="192" t="s">
        <v>195</v>
      </c>
      <c r="D49" s="192" t="s">
        <v>196</v>
      </c>
      <c r="E49" s="192" t="s">
        <v>186</v>
      </c>
      <c r="F49" s="192" t="s">
        <v>180</v>
      </c>
      <c r="G49" s="192" t="s">
        <v>187</v>
      </c>
      <c r="H49" s="192" t="s">
        <v>181</v>
      </c>
      <c r="I49" s="192" t="s">
        <v>64</v>
      </c>
      <c r="J49" s="192" t="s">
        <v>65</v>
      </c>
      <c r="K49" s="192" t="s">
        <v>87</v>
      </c>
      <c r="L49" s="192" t="s">
        <v>87</v>
      </c>
      <c r="M49" s="192" t="s">
        <v>66</v>
      </c>
      <c r="N49" s="276" t="s">
        <v>110</v>
      </c>
      <c r="O49" s="276">
        <v>2019</v>
      </c>
      <c r="P49" s="201">
        <v>629529.59</v>
      </c>
      <c r="Q49" s="201">
        <v>535100.15</v>
      </c>
      <c r="R49" s="201">
        <v>0</v>
      </c>
      <c r="S49" s="201">
        <f t="shared" si="8"/>
        <v>94429.439999999944</v>
      </c>
    </row>
    <row r="50" spans="2:26" ht="81" hidden="1" customHeight="1" x14ac:dyDescent="0.25">
      <c r="B50" s="192" t="s">
        <v>197</v>
      </c>
      <c r="C50" s="192" t="s">
        <v>198</v>
      </c>
      <c r="D50" s="192" t="s">
        <v>199</v>
      </c>
      <c r="E50" s="192" t="s">
        <v>93</v>
      </c>
      <c r="F50" s="192" t="s">
        <v>180</v>
      </c>
      <c r="G50" s="192" t="s">
        <v>94</v>
      </c>
      <c r="H50" s="192" t="s">
        <v>181</v>
      </c>
      <c r="I50" s="192" t="s">
        <v>64</v>
      </c>
      <c r="J50" s="192" t="s">
        <v>65</v>
      </c>
      <c r="K50" s="192" t="s">
        <v>87</v>
      </c>
      <c r="L50" s="192" t="s">
        <v>87</v>
      </c>
      <c r="M50" s="192" t="s">
        <v>66</v>
      </c>
      <c r="N50" s="276" t="s">
        <v>200</v>
      </c>
      <c r="O50" s="276">
        <v>2019</v>
      </c>
      <c r="P50" s="201">
        <v>422480.42</v>
      </c>
      <c r="Q50" s="26">
        <v>356602.97</v>
      </c>
      <c r="R50" s="201">
        <v>0</v>
      </c>
      <c r="S50" s="201">
        <f>P50-Q50-R50</f>
        <v>65877.450000000012</v>
      </c>
      <c r="Y50" s="27"/>
      <c r="Z50" s="27"/>
    </row>
    <row r="51" spans="2:26" ht="117.75" hidden="1" customHeight="1" x14ac:dyDescent="0.25">
      <c r="B51" s="192" t="s">
        <v>201</v>
      </c>
      <c r="C51" s="192" t="s">
        <v>202</v>
      </c>
      <c r="D51" s="192" t="s">
        <v>203</v>
      </c>
      <c r="E51" s="192" t="s">
        <v>152</v>
      </c>
      <c r="F51" s="192" t="s">
        <v>180</v>
      </c>
      <c r="G51" s="192" t="s">
        <v>204</v>
      </c>
      <c r="H51" s="192" t="s">
        <v>181</v>
      </c>
      <c r="I51" s="192" t="s">
        <v>64</v>
      </c>
      <c r="J51" s="192" t="s">
        <v>65</v>
      </c>
      <c r="K51" s="192" t="s">
        <v>87</v>
      </c>
      <c r="L51" s="192" t="s">
        <v>87</v>
      </c>
      <c r="M51" s="192" t="s">
        <v>66</v>
      </c>
      <c r="N51" s="276" t="s">
        <v>98</v>
      </c>
      <c r="O51" s="276">
        <v>2021</v>
      </c>
      <c r="P51" s="201">
        <v>944540.69</v>
      </c>
      <c r="Q51" s="201">
        <v>323969.08999999997</v>
      </c>
      <c r="R51" s="201">
        <v>0</v>
      </c>
      <c r="S51" s="201">
        <f t="shared" si="8"/>
        <v>620571.6</v>
      </c>
    </row>
    <row r="52" spans="2:26" ht="84" hidden="1" customHeight="1" x14ac:dyDescent="0.25">
      <c r="B52" s="192" t="s">
        <v>205</v>
      </c>
      <c r="C52" s="192" t="s">
        <v>206</v>
      </c>
      <c r="D52" s="192" t="s">
        <v>207</v>
      </c>
      <c r="E52" s="192" t="s">
        <v>145</v>
      </c>
      <c r="F52" s="192" t="s">
        <v>180</v>
      </c>
      <c r="G52" s="192" t="s">
        <v>208</v>
      </c>
      <c r="H52" s="192" t="s">
        <v>181</v>
      </c>
      <c r="I52" s="192" t="s">
        <v>64</v>
      </c>
      <c r="J52" s="192" t="s">
        <v>65</v>
      </c>
      <c r="K52" s="192" t="s">
        <v>87</v>
      </c>
      <c r="L52" s="192" t="s">
        <v>87</v>
      </c>
      <c r="M52" s="192" t="s">
        <v>66</v>
      </c>
      <c r="N52" s="276" t="s">
        <v>209</v>
      </c>
      <c r="O52" s="276">
        <v>2020</v>
      </c>
      <c r="P52" s="201">
        <v>956722.11</v>
      </c>
      <c r="Q52" s="201">
        <v>759345.73</v>
      </c>
      <c r="R52" s="201">
        <v>0</v>
      </c>
      <c r="S52" s="201">
        <f t="shared" si="8"/>
        <v>197376.38</v>
      </c>
    </row>
    <row r="53" spans="2:26" ht="102.75" hidden="1" customHeight="1" x14ac:dyDescent="0.25">
      <c r="B53" s="192" t="s">
        <v>210</v>
      </c>
      <c r="C53" s="192" t="s">
        <v>211</v>
      </c>
      <c r="D53" s="201" t="s">
        <v>212</v>
      </c>
      <c r="E53" s="201" t="s">
        <v>186</v>
      </c>
      <c r="F53" s="201" t="s">
        <v>180</v>
      </c>
      <c r="G53" s="201" t="s">
        <v>187</v>
      </c>
      <c r="H53" s="201" t="s">
        <v>181</v>
      </c>
      <c r="I53" s="201" t="s">
        <v>64</v>
      </c>
      <c r="J53" s="201" t="s">
        <v>65</v>
      </c>
      <c r="K53" s="192" t="s">
        <v>87</v>
      </c>
      <c r="L53" s="192" t="s">
        <v>87</v>
      </c>
      <c r="M53" s="192" t="s">
        <v>66</v>
      </c>
      <c r="N53" s="276" t="s">
        <v>189</v>
      </c>
      <c r="O53" s="276">
        <v>2021</v>
      </c>
      <c r="P53" s="277">
        <v>108426.93</v>
      </c>
      <c r="Q53" s="201">
        <v>87059.24</v>
      </c>
      <c r="R53" s="201">
        <v>0</v>
      </c>
      <c r="S53" s="201">
        <f t="shared" si="8"/>
        <v>21367.689999999988</v>
      </c>
    </row>
    <row r="54" spans="2:26" ht="129" hidden="1" customHeight="1" x14ac:dyDescent="0.25">
      <c r="B54" s="29" t="s">
        <v>213</v>
      </c>
      <c r="C54" s="29" t="s">
        <v>214</v>
      </c>
      <c r="D54" s="29" t="s">
        <v>215</v>
      </c>
      <c r="E54" s="29" t="s">
        <v>60</v>
      </c>
      <c r="F54" s="29" t="s">
        <v>180</v>
      </c>
      <c r="G54" s="29" t="s">
        <v>73</v>
      </c>
      <c r="H54" s="29" t="s">
        <v>181</v>
      </c>
      <c r="I54" s="29" t="s">
        <v>64</v>
      </c>
      <c r="J54" s="29" t="s">
        <v>65</v>
      </c>
      <c r="K54" s="31" t="s">
        <v>87</v>
      </c>
      <c r="L54" s="31" t="s">
        <v>87</v>
      </c>
      <c r="M54" s="31" t="s">
        <v>66</v>
      </c>
      <c r="N54" s="30" t="s">
        <v>216</v>
      </c>
      <c r="O54" s="30">
        <v>2022</v>
      </c>
      <c r="P54" s="26">
        <v>348894.97</v>
      </c>
      <c r="Q54" s="26">
        <v>296560.71999999997</v>
      </c>
      <c r="R54" s="26">
        <v>0</v>
      </c>
      <c r="S54" s="23">
        <f>P54-Q54</f>
        <v>52334.25</v>
      </c>
    </row>
    <row r="55" spans="2:26" ht="67.5" hidden="1" customHeight="1" x14ac:dyDescent="0.25">
      <c r="B55" s="29" t="s">
        <v>217</v>
      </c>
      <c r="C55" s="29" t="s">
        <v>218</v>
      </c>
      <c r="D55" s="23" t="s">
        <v>219</v>
      </c>
      <c r="E55" s="23" t="s">
        <v>138</v>
      </c>
      <c r="F55" s="23" t="s">
        <v>180</v>
      </c>
      <c r="G55" s="23" t="s">
        <v>139</v>
      </c>
      <c r="H55" s="23" t="s">
        <v>181</v>
      </c>
      <c r="I55" s="23" t="s">
        <v>64</v>
      </c>
      <c r="J55" s="31" t="s">
        <v>65</v>
      </c>
      <c r="K55" s="31" t="s">
        <v>87</v>
      </c>
      <c r="L55" s="31" t="s">
        <v>87</v>
      </c>
      <c r="M55" s="31" t="s">
        <v>66</v>
      </c>
      <c r="N55" s="30" t="s">
        <v>88</v>
      </c>
      <c r="O55" s="30">
        <v>2020</v>
      </c>
      <c r="P55" s="26">
        <v>179266</v>
      </c>
      <c r="Q55" s="26">
        <v>152376.1</v>
      </c>
      <c r="R55" s="26">
        <v>0</v>
      </c>
      <c r="S55" s="23">
        <f t="shared" si="8"/>
        <v>26889.899999999994</v>
      </c>
    </row>
    <row r="56" spans="2:26" ht="63.75" hidden="1" customHeight="1" x14ac:dyDescent="0.25">
      <c r="B56" s="29" t="s">
        <v>220</v>
      </c>
      <c r="C56" s="29" t="s">
        <v>221</v>
      </c>
      <c r="D56" s="23" t="s">
        <v>222</v>
      </c>
      <c r="E56" s="23" t="s">
        <v>138</v>
      </c>
      <c r="F56" s="23" t="s">
        <v>180</v>
      </c>
      <c r="G56" s="23" t="s">
        <v>139</v>
      </c>
      <c r="H56" s="23" t="s">
        <v>181</v>
      </c>
      <c r="I56" s="23" t="s">
        <v>64</v>
      </c>
      <c r="J56" s="23" t="s">
        <v>66</v>
      </c>
      <c r="K56" s="31" t="s">
        <v>87</v>
      </c>
      <c r="L56" s="31" t="s">
        <v>87</v>
      </c>
      <c r="M56" s="31" t="s">
        <v>66</v>
      </c>
      <c r="N56" s="30" t="s">
        <v>189</v>
      </c>
      <c r="O56" s="30">
        <v>2021</v>
      </c>
      <c r="P56" s="26">
        <v>229502.15</v>
      </c>
      <c r="Q56" s="26">
        <v>195076.83</v>
      </c>
      <c r="R56" s="26">
        <v>0</v>
      </c>
      <c r="S56" s="23">
        <f t="shared" si="8"/>
        <v>34425.320000000007</v>
      </c>
    </row>
    <row r="57" spans="2:26" ht="76.5" hidden="1" customHeight="1" x14ac:dyDescent="0.25">
      <c r="B57" s="29" t="s">
        <v>223</v>
      </c>
      <c r="C57" s="29" t="s">
        <v>224</v>
      </c>
      <c r="D57" s="26" t="s">
        <v>225</v>
      </c>
      <c r="E57" s="23" t="s">
        <v>93</v>
      </c>
      <c r="F57" s="23" t="s">
        <v>180</v>
      </c>
      <c r="G57" s="23" t="s">
        <v>94</v>
      </c>
      <c r="H57" s="23" t="s">
        <v>181</v>
      </c>
      <c r="I57" s="23" t="s">
        <v>64</v>
      </c>
      <c r="J57" s="31" t="s">
        <v>66</v>
      </c>
      <c r="K57" s="31" t="s">
        <v>87</v>
      </c>
      <c r="L57" s="31" t="s">
        <v>87</v>
      </c>
      <c r="M57" s="31" t="s">
        <v>66</v>
      </c>
      <c r="N57" s="30" t="s">
        <v>1183</v>
      </c>
      <c r="O57" s="30">
        <v>2022</v>
      </c>
      <c r="P57" s="47">
        <v>193151.51</v>
      </c>
      <c r="Q57" s="26">
        <v>160885.54999999999</v>
      </c>
      <c r="R57" s="26">
        <v>0</v>
      </c>
      <c r="S57" s="47">
        <f>P57-Q57</f>
        <v>32265.960000000021</v>
      </c>
    </row>
    <row r="58" spans="2:26" ht="76.5" hidden="1" customHeight="1" x14ac:dyDescent="0.25">
      <c r="B58" s="29" t="s">
        <v>1184</v>
      </c>
      <c r="C58" s="29" t="s">
        <v>1185</v>
      </c>
      <c r="D58" s="29" t="s">
        <v>1186</v>
      </c>
      <c r="E58" s="29" t="s">
        <v>186</v>
      </c>
      <c r="F58" s="29" t="s">
        <v>180</v>
      </c>
      <c r="G58" s="29" t="s">
        <v>187</v>
      </c>
      <c r="H58" s="29" t="s">
        <v>181</v>
      </c>
      <c r="I58" s="29" t="s">
        <v>64</v>
      </c>
      <c r="J58" s="36" t="s">
        <v>66</v>
      </c>
      <c r="K58" s="36" t="s">
        <v>87</v>
      </c>
      <c r="L58" s="36" t="s">
        <v>87</v>
      </c>
      <c r="M58" s="36" t="s">
        <v>66</v>
      </c>
      <c r="N58" s="30" t="s">
        <v>1187</v>
      </c>
      <c r="O58" s="30">
        <v>2021</v>
      </c>
      <c r="P58" s="47">
        <f>Q58+R58+S58</f>
        <v>296612</v>
      </c>
      <c r="Q58" s="47">
        <v>214303</v>
      </c>
      <c r="R58" s="26">
        <v>0</v>
      </c>
      <c r="S58" s="47">
        <v>82309</v>
      </c>
    </row>
    <row r="59" spans="2:26" ht="145.5" hidden="1" customHeight="1" x14ac:dyDescent="0.25">
      <c r="B59" s="20" t="s">
        <v>226</v>
      </c>
      <c r="C59" s="20"/>
      <c r="D59" s="20" t="s">
        <v>227</v>
      </c>
      <c r="E59" s="20"/>
      <c r="F59" s="20"/>
      <c r="G59" s="20"/>
      <c r="H59" s="20"/>
      <c r="I59" s="20"/>
      <c r="J59" s="20"/>
      <c r="K59" s="20"/>
      <c r="L59" s="20"/>
      <c r="M59" s="20"/>
      <c r="N59" s="20"/>
      <c r="O59" s="20"/>
      <c r="P59" s="42"/>
      <c r="Q59" s="42"/>
      <c r="R59" s="42"/>
      <c r="S59" s="42"/>
    </row>
    <row r="60" spans="2:26" ht="71.25" hidden="1" customHeight="1" x14ac:dyDescent="0.25">
      <c r="B60" s="21" t="s">
        <v>228</v>
      </c>
      <c r="C60" s="21"/>
      <c r="D60" s="21" t="s">
        <v>229</v>
      </c>
      <c r="E60" s="21"/>
      <c r="F60" s="21"/>
      <c r="G60" s="21"/>
      <c r="H60" s="21"/>
      <c r="I60" s="21"/>
      <c r="J60" s="21"/>
      <c r="K60" s="21"/>
      <c r="L60" s="21"/>
      <c r="M60" s="21"/>
      <c r="N60" s="21"/>
      <c r="O60" s="21"/>
      <c r="P60" s="263">
        <f>SUM(P61:P67)</f>
        <v>833307.49</v>
      </c>
      <c r="Q60" s="263">
        <f>SUM(Q61:Q67)</f>
        <v>480802</v>
      </c>
      <c r="R60" s="263">
        <f t="shared" ref="R60:S60" si="9">SUM(R61:R67)</f>
        <v>0</v>
      </c>
      <c r="S60" s="263">
        <f t="shared" si="9"/>
        <v>352505.49</v>
      </c>
    </row>
    <row r="61" spans="2:26" ht="24" hidden="1" customHeight="1" x14ac:dyDescent="0.25">
      <c r="B61" s="29"/>
      <c r="C61" s="29"/>
      <c r="D61" s="26"/>
      <c r="E61" s="26"/>
      <c r="F61" s="26"/>
      <c r="G61" s="26"/>
      <c r="H61" s="26"/>
      <c r="I61" s="29"/>
      <c r="J61" s="29"/>
      <c r="K61" s="29"/>
      <c r="L61" s="29"/>
      <c r="M61" s="29"/>
      <c r="N61" s="30"/>
      <c r="O61" s="30"/>
      <c r="P61" s="26"/>
      <c r="Q61" s="26"/>
      <c r="R61" s="26"/>
      <c r="S61" s="23"/>
    </row>
    <row r="62" spans="2:26" ht="156.75" hidden="1" customHeight="1" x14ac:dyDescent="0.25">
      <c r="B62" s="29" t="s">
        <v>231</v>
      </c>
      <c r="C62" s="29" t="s">
        <v>232</v>
      </c>
      <c r="D62" s="26" t="s">
        <v>233</v>
      </c>
      <c r="E62" s="26" t="s">
        <v>93</v>
      </c>
      <c r="F62" s="26" t="s">
        <v>180</v>
      </c>
      <c r="G62" s="26" t="s">
        <v>94</v>
      </c>
      <c r="H62" s="26" t="s">
        <v>230</v>
      </c>
      <c r="I62" s="29" t="s">
        <v>64</v>
      </c>
      <c r="J62" s="29" t="s">
        <v>65</v>
      </c>
      <c r="K62" s="29" t="s">
        <v>87</v>
      </c>
      <c r="L62" s="29" t="s">
        <v>87</v>
      </c>
      <c r="M62" s="29" t="s">
        <v>66</v>
      </c>
      <c r="N62" s="30" t="s">
        <v>209</v>
      </c>
      <c r="O62" s="30">
        <v>2020</v>
      </c>
      <c r="P62" s="26">
        <v>322662</v>
      </c>
      <c r="Q62" s="26">
        <v>165122</v>
      </c>
      <c r="R62" s="26">
        <v>0</v>
      </c>
      <c r="S62" s="26">
        <f t="shared" ref="S62:S64" si="10">P62-Q62-R62</f>
        <v>157540</v>
      </c>
    </row>
    <row r="63" spans="2:26" s="27" customFormat="1" ht="117.75" hidden="1" customHeight="1" x14ac:dyDescent="0.25">
      <c r="B63" s="29" t="s">
        <v>236</v>
      </c>
      <c r="C63" s="29" t="s">
        <v>237</v>
      </c>
      <c r="D63" s="26" t="s">
        <v>238</v>
      </c>
      <c r="E63" s="26" t="s">
        <v>152</v>
      </c>
      <c r="F63" s="26" t="s">
        <v>180</v>
      </c>
      <c r="G63" s="26" t="s">
        <v>153</v>
      </c>
      <c r="H63" s="26" t="s">
        <v>230</v>
      </c>
      <c r="I63" s="29" t="s">
        <v>64</v>
      </c>
      <c r="J63" s="29" t="s">
        <v>65</v>
      </c>
      <c r="K63" s="29" t="s">
        <v>87</v>
      </c>
      <c r="L63" s="29" t="s">
        <v>87</v>
      </c>
      <c r="M63" s="29" t="s">
        <v>66</v>
      </c>
      <c r="N63" s="30" t="s">
        <v>182</v>
      </c>
      <c r="O63" s="30">
        <v>2020</v>
      </c>
      <c r="P63" s="26">
        <v>131687.24</v>
      </c>
      <c r="Q63" s="26">
        <v>71645</v>
      </c>
      <c r="R63" s="26">
        <v>0</v>
      </c>
      <c r="S63" s="23">
        <f t="shared" si="10"/>
        <v>60042.239999999991</v>
      </c>
      <c r="T63" s="6"/>
      <c r="U63" s="6"/>
      <c r="V63" s="6"/>
      <c r="W63" s="6"/>
      <c r="X63" s="6"/>
    </row>
    <row r="64" spans="2:26" ht="102.75" hidden="1" customHeight="1" x14ac:dyDescent="0.25">
      <c r="B64" s="192" t="s">
        <v>239</v>
      </c>
      <c r="C64" s="192" t="s">
        <v>240</v>
      </c>
      <c r="D64" s="26" t="s">
        <v>241</v>
      </c>
      <c r="E64" s="201" t="s">
        <v>102</v>
      </c>
      <c r="F64" s="201" t="s">
        <v>242</v>
      </c>
      <c r="G64" s="201" t="s">
        <v>103</v>
      </c>
      <c r="H64" s="201" t="s">
        <v>230</v>
      </c>
      <c r="I64" s="192" t="s">
        <v>86</v>
      </c>
      <c r="J64" s="192" t="s">
        <v>30</v>
      </c>
      <c r="K64" s="192" t="s">
        <v>87</v>
      </c>
      <c r="L64" s="192" t="s">
        <v>87</v>
      </c>
      <c r="M64" s="192" t="s">
        <v>66</v>
      </c>
      <c r="N64" s="276" t="s">
        <v>182</v>
      </c>
      <c r="O64" s="276">
        <v>2020</v>
      </c>
      <c r="P64" s="201">
        <v>124320.76</v>
      </c>
      <c r="Q64" s="201">
        <v>71285</v>
      </c>
      <c r="R64" s="201">
        <v>0</v>
      </c>
      <c r="S64" s="201">
        <f t="shared" si="10"/>
        <v>53035.759999999995</v>
      </c>
    </row>
    <row r="65" spans="2:24" ht="102.75" hidden="1" customHeight="1" x14ac:dyDescent="0.25">
      <c r="B65" s="29" t="s">
        <v>1188</v>
      </c>
      <c r="C65" s="29" t="s">
        <v>1189</v>
      </c>
      <c r="D65" s="26" t="s">
        <v>1190</v>
      </c>
      <c r="E65" s="26" t="s">
        <v>186</v>
      </c>
      <c r="F65" s="26" t="s">
        <v>242</v>
      </c>
      <c r="G65" s="26" t="s">
        <v>103</v>
      </c>
      <c r="H65" s="26" t="s">
        <v>230</v>
      </c>
      <c r="I65" s="29" t="s">
        <v>86</v>
      </c>
      <c r="J65" s="29" t="s">
        <v>87</v>
      </c>
      <c r="K65" s="29" t="s">
        <v>87</v>
      </c>
      <c r="L65" s="29" t="s">
        <v>87</v>
      </c>
      <c r="M65" s="29" t="s">
        <v>66</v>
      </c>
      <c r="N65" s="30" t="s">
        <v>1191</v>
      </c>
      <c r="O65" s="30">
        <v>2021</v>
      </c>
      <c r="P65" s="26">
        <f>Q65+R65+S65</f>
        <v>48964</v>
      </c>
      <c r="Q65" s="26">
        <v>41619</v>
      </c>
      <c r="R65" s="26">
        <v>0</v>
      </c>
      <c r="S65" s="26">
        <v>7345</v>
      </c>
    </row>
    <row r="66" spans="2:24" ht="120" hidden="1" customHeight="1" x14ac:dyDescent="0.25">
      <c r="B66" s="29" t="s">
        <v>1192</v>
      </c>
      <c r="C66" s="29" t="s">
        <v>1193</v>
      </c>
      <c r="D66" s="26" t="s">
        <v>1194</v>
      </c>
      <c r="E66" s="26" t="s">
        <v>93</v>
      </c>
      <c r="F66" s="26" t="s">
        <v>242</v>
      </c>
      <c r="G66" s="26" t="s">
        <v>93</v>
      </c>
      <c r="H66" s="26" t="s">
        <v>230</v>
      </c>
      <c r="I66" s="29" t="s">
        <v>86</v>
      </c>
      <c r="J66" s="29" t="s">
        <v>87</v>
      </c>
      <c r="K66" s="29" t="s">
        <v>87</v>
      </c>
      <c r="L66" s="29" t="s">
        <v>87</v>
      </c>
      <c r="M66" s="29" t="s">
        <v>87</v>
      </c>
      <c r="N66" s="30">
        <v>2020</v>
      </c>
      <c r="O66" s="30">
        <v>2021</v>
      </c>
      <c r="P66" s="26">
        <f>Q66+R66+S66</f>
        <v>102130.48999999999</v>
      </c>
      <c r="Q66" s="26">
        <v>57588</v>
      </c>
      <c r="R66" s="26">
        <v>0</v>
      </c>
      <c r="S66" s="26">
        <v>44542.49</v>
      </c>
    </row>
    <row r="67" spans="2:24" s="27" customFormat="1" ht="145.5" hidden="1" customHeight="1" x14ac:dyDescent="0.25">
      <c r="B67" s="29" t="s">
        <v>1491</v>
      </c>
      <c r="C67" s="29" t="s">
        <v>1492</v>
      </c>
      <c r="D67" s="26" t="s">
        <v>1493</v>
      </c>
      <c r="E67" s="26" t="s">
        <v>138</v>
      </c>
      <c r="F67" s="26" t="s">
        <v>180</v>
      </c>
      <c r="G67" s="26" t="s">
        <v>162</v>
      </c>
      <c r="H67" s="26" t="s">
        <v>1494</v>
      </c>
      <c r="I67" s="29" t="s">
        <v>64</v>
      </c>
      <c r="J67" s="29" t="s">
        <v>66</v>
      </c>
      <c r="K67" s="29" t="s">
        <v>66</v>
      </c>
      <c r="L67" s="29" t="s">
        <v>66</v>
      </c>
      <c r="M67" s="29" t="s">
        <v>66</v>
      </c>
      <c r="N67" s="30">
        <v>2020</v>
      </c>
      <c r="O67" s="30">
        <v>2021</v>
      </c>
      <c r="P67" s="26">
        <v>103543</v>
      </c>
      <c r="Q67" s="26">
        <v>73543</v>
      </c>
      <c r="R67" s="26">
        <v>0</v>
      </c>
      <c r="S67" s="26">
        <v>30000</v>
      </c>
    </row>
    <row r="68" spans="2:24" ht="68.25" hidden="1" customHeight="1" x14ac:dyDescent="0.25">
      <c r="B68" s="21" t="s">
        <v>243</v>
      </c>
      <c r="C68" s="21"/>
      <c r="D68" s="21" t="s">
        <v>244</v>
      </c>
      <c r="E68" s="21"/>
      <c r="F68" s="21"/>
      <c r="G68" s="21"/>
      <c r="H68" s="21"/>
      <c r="I68" s="21"/>
      <c r="J68" s="21"/>
      <c r="K68" s="21"/>
      <c r="L68" s="21"/>
      <c r="M68" s="21"/>
      <c r="N68" s="21"/>
      <c r="O68" s="21"/>
      <c r="P68" s="263">
        <f>Q68+R68+S68</f>
        <v>1569563.06</v>
      </c>
      <c r="Q68" s="263">
        <f>Q70+Q71+Q72+Q73</f>
        <v>1333052</v>
      </c>
      <c r="R68" s="263">
        <f t="shared" ref="R68:S68" si="11">R70+R71+R72+R73</f>
        <v>0</v>
      </c>
      <c r="S68" s="263">
        <f t="shared" si="11"/>
        <v>236511.06</v>
      </c>
    </row>
    <row r="69" spans="2:24" ht="15.75" hidden="1" customHeight="1" x14ac:dyDescent="0.25">
      <c r="B69" s="29"/>
      <c r="C69" s="29"/>
      <c r="D69" s="23"/>
      <c r="E69" s="23"/>
      <c r="F69" s="23"/>
      <c r="G69" s="23"/>
      <c r="H69" s="23"/>
      <c r="I69" s="29"/>
      <c r="J69" s="29"/>
      <c r="K69" s="29"/>
      <c r="L69" s="29"/>
      <c r="M69" s="29"/>
      <c r="N69" s="30"/>
      <c r="O69" s="30"/>
      <c r="P69" s="26"/>
      <c r="Q69" s="26"/>
      <c r="R69" s="26"/>
      <c r="S69" s="23"/>
    </row>
    <row r="70" spans="2:24" s="27" customFormat="1" ht="53.25" hidden="1" customHeight="1" x14ac:dyDescent="0.25">
      <c r="B70" s="29" t="s">
        <v>245</v>
      </c>
      <c r="C70" s="29" t="s">
        <v>246</v>
      </c>
      <c r="D70" s="26" t="s">
        <v>247</v>
      </c>
      <c r="E70" s="26" t="s">
        <v>145</v>
      </c>
      <c r="F70" s="26" t="s">
        <v>180</v>
      </c>
      <c r="G70" s="26" t="s">
        <v>208</v>
      </c>
      <c r="H70" s="26" t="s">
        <v>248</v>
      </c>
      <c r="I70" s="29" t="s">
        <v>148</v>
      </c>
      <c r="J70" s="29" t="s">
        <v>65</v>
      </c>
      <c r="K70" s="29" t="s">
        <v>87</v>
      </c>
      <c r="L70" s="29" t="s">
        <v>87</v>
      </c>
      <c r="M70" s="29" t="s">
        <v>66</v>
      </c>
      <c r="N70" s="30" t="s">
        <v>67</v>
      </c>
      <c r="O70" s="30">
        <v>2017</v>
      </c>
      <c r="P70" s="26">
        <v>20000</v>
      </c>
      <c r="Q70" s="26">
        <v>17000</v>
      </c>
      <c r="R70" s="26">
        <v>0</v>
      </c>
      <c r="S70" s="23">
        <f t="shared" ref="S70:S72" si="12">P70-Q70-R70</f>
        <v>3000</v>
      </c>
      <c r="T70" s="6"/>
      <c r="U70" s="6"/>
      <c r="V70" s="6"/>
      <c r="W70" s="6"/>
      <c r="X70" s="6"/>
    </row>
    <row r="71" spans="2:24" s="27" customFormat="1" ht="78" hidden="1" customHeight="1" x14ac:dyDescent="0.25">
      <c r="B71" s="29" t="s">
        <v>249</v>
      </c>
      <c r="C71" s="29" t="s">
        <v>250</v>
      </c>
      <c r="D71" s="26" t="s">
        <v>251</v>
      </c>
      <c r="E71" s="26" t="s">
        <v>145</v>
      </c>
      <c r="F71" s="26" t="s">
        <v>180</v>
      </c>
      <c r="G71" s="26" t="s">
        <v>146</v>
      </c>
      <c r="H71" s="26" t="s">
        <v>252</v>
      </c>
      <c r="I71" s="192" t="s">
        <v>64</v>
      </c>
      <c r="J71" s="192" t="s">
        <v>65</v>
      </c>
      <c r="K71" s="192" t="s">
        <v>87</v>
      </c>
      <c r="L71" s="192" t="s">
        <v>87</v>
      </c>
      <c r="M71" s="192" t="s">
        <v>66</v>
      </c>
      <c r="N71" s="276">
        <v>2020</v>
      </c>
      <c r="O71" s="276">
        <v>2022</v>
      </c>
      <c r="P71" s="201">
        <v>861076</v>
      </c>
      <c r="Q71" s="201">
        <v>730838</v>
      </c>
      <c r="R71" s="201">
        <v>0</v>
      </c>
      <c r="S71" s="201">
        <f t="shared" si="12"/>
        <v>130238</v>
      </c>
      <c r="T71" s="6"/>
      <c r="U71" s="6"/>
      <c r="V71" s="6"/>
      <c r="W71" s="6"/>
      <c r="X71" s="6"/>
    </row>
    <row r="72" spans="2:24" s="27" customFormat="1" ht="62.25" hidden="1" customHeight="1" x14ac:dyDescent="0.25">
      <c r="B72" s="29" t="s">
        <v>253</v>
      </c>
      <c r="C72" s="26" t="s">
        <v>254</v>
      </c>
      <c r="D72" s="26" t="s">
        <v>255</v>
      </c>
      <c r="E72" s="26" t="s">
        <v>152</v>
      </c>
      <c r="F72" s="26" t="s">
        <v>180</v>
      </c>
      <c r="G72" s="26" t="s">
        <v>204</v>
      </c>
      <c r="H72" s="26" t="s">
        <v>256</v>
      </c>
      <c r="I72" s="26" t="s">
        <v>148</v>
      </c>
      <c r="J72" s="29" t="s">
        <v>66</v>
      </c>
      <c r="K72" s="29" t="s">
        <v>87</v>
      </c>
      <c r="L72" s="29" t="s">
        <v>87</v>
      </c>
      <c r="M72" s="29" t="s">
        <v>66</v>
      </c>
      <c r="N72" s="25" t="s">
        <v>78</v>
      </c>
      <c r="O72" s="26">
        <v>2017</v>
      </c>
      <c r="P72" s="26">
        <v>15700</v>
      </c>
      <c r="Q72" s="26">
        <v>13345</v>
      </c>
      <c r="R72" s="26">
        <v>0</v>
      </c>
      <c r="S72" s="23">
        <f t="shared" si="12"/>
        <v>2355</v>
      </c>
      <c r="T72" s="6"/>
      <c r="U72" s="6"/>
      <c r="V72" s="6"/>
      <c r="W72" s="6"/>
      <c r="X72" s="6"/>
    </row>
    <row r="73" spans="2:24" s="27" customFormat="1" ht="65.25" hidden="1" customHeight="1" x14ac:dyDescent="0.25">
      <c r="B73" s="29" t="s">
        <v>257</v>
      </c>
      <c r="C73" s="29" t="s">
        <v>1448</v>
      </c>
      <c r="D73" s="26" t="s">
        <v>1196</v>
      </c>
      <c r="E73" s="26" t="s">
        <v>152</v>
      </c>
      <c r="F73" s="26" t="s">
        <v>180</v>
      </c>
      <c r="G73" s="26" t="s">
        <v>204</v>
      </c>
      <c r="H73" s="26" t="s">
        <v>252</v>
      </c>
      <c r="I73" s="29" t="s">
        <v>64</v>
      </c>
      <c r="J73" s="29" t="s">
        <v>66</v>
      </c>
      <c r="K73" s="29" t="s">
        <v>87</v>
      </c>
      <c r="L73" s="29" t="s">
        <v>87</v>
      </c>
      <c r="M73" s="29" t="s">
        <v>66</v>
      </c>
      <c r="N73" s="30">
        <v>2021</v>
      </c>
      <c r="O73" s="30">
        <v>2022</v>
      </c>
      <c r="P73" s="47">
        <f>Q73+S73</f>
        <v>672787.06</v>
      </c>
      <c r="Q73" s="26">
        <v>571869</v>
      </c>
      <c r="R73" s="26"/>
      <c r="S73" s="47">
        <v>100918.06</v>
      </c>
      <c r="T73" s="6"/>
      <c r="U73" s="6"/>
      <c r="V73" s="6"/>
      <c r="W73" s="6"/>
      <c r="X73" s="6"/>
    </row>
    <row r="74" spans="2:24" ht="111" hidden="1" customHeight="1" x14ac:dyDescent="0.25">
      <c r="B74" s="21" t="s">
        <v>258</v>
      </c>
      <c r="C74" s="21"/>
      <c r="D74" s="21" t="s">
        <v>259</v>
      </c>
      <c r="E74" s="21"/>
      <c r="F74" s="21"/>
      <c r="G74" s="21"/>
      <c r="H74" s="21"/>
      <c r="I74" s="21"/>
      <c r="J74" s="21"/>
      <c r="K74" s="21"/>
      <c r="L74" s="21"/>
      <c r="M74" s="21"/>
      <c r="N74" s="21"/>
      <c r="O74" s="21"/>
      <c r="P74" s="263">
        <f>Q74+R74+S74</f>
        <v>1191647</v>
      </c>
      <c r="Q74" s="263">
        <f>Q75</f>
        <v>1012900</v>
      </c>
      <c r="R74" s="263">
        <f t="shared" ref="R74:S74" si="13">R75</f>
        <v>0</v>
      </c>
      <c r="S74" s="263">
        <f t="shared" si="13"/>
        <v>178747</v>
      </c>
    </row>
    <row r="75" spans="2:24" ht="114" hidden="1" customHeight="1" x14ac:dyDescent="0.25">
      <c r="B75" s="29" t="s">
        <v>260</v>
      </c>
      <c r="C75" s="29" t="s">
        <v>261</v>
      </c>
      <c r="D75" s="29" t="s">
        <v>262</v>
      </c>
      <c r="E75" s="29" t="s">
        <v>152</v>
      </c>
      <c r="F75" s="29" t="s">
        <v>180</v>
      </c>
      <c r="G75" s="29" t="s">
        <v>204</v>
      </c>
      <c r="H75" s="29" t="s">
        <v>263</v>
      </c>
      <c r="I75" s="29" t="s">
        <v>64</v>
      </c>
      <c r="J75" s="29" t="s">
        <v>66</v>
      </c>
      <c r="K75" s="29" t="s">
        <v>87</v>
      </c>
      <c r="L75" s="29" t="s">
        <v>87</v>
      </c>
      <c r="M75" s="29" t="s">
        <v>66</v>
      </c>
      <c r="N75" s="29" t="s">
        <v>189</v>
      </c>
      <c r="O75" s="29">
        <v>2021</v>
      </c>
      <c r="P75" s="26">
        <v>1191647</v>
      </c>
      <c r="Q75" s="26">
        <v>1012900</v>
      </c>
      <c r="R75" s="26">
        <v>0</v>
      </c>
      <c r="S75" s="26">
        <v>178747</v>
      </c>
    </row>
    <row r="76" spans="2:24" ht="105.75" hidden="1" customHeight="1" x14ac:dyDescent="0.25">
      <c r="B76" s="15" t="s">
        <v>264</v>
      </c>
      <c r="C76" s="15"/>
      <c r="D76" s="15" t="s">
        <v>265</v>
      </c>
      <c r="E76" s="15"/>
      <c r="F76" s="15"/>
      <c r="G76" s="15"/>
      <c r="H76" s="15"/>
      <c r="I76" s="15"/>
      <c r="J76" s="15"/>
      <c r="K76" s="15"/>
      <c r="L76" s="15"/>
      <c r="M76" s="15"/>
      <c r="N76" s="15"/>
      <c r="O76" s="15"/>
      <c r="P76" s="73"/>
      <c r="Q76" s="73"/>
      <c r="R76" s="73"/>
      <c r="S76" s="73"/>
    </row>
    <row r="77" spans="2:24" ht="79.5" hidden="1" customHeight="1" x14ac:dyDescent="0.25">
      <c r="B77" s="16" t="s">
        <v>266</v>
      </c>
      <c r="C77" s="17"/>
      <c r="D77" s="18" t="s">
        <v>267</v>
      </c>
      <c r="E77" s="17"/>
      <c r="F77" s="16"/>
      <c r="G77" s="17"/>
      <c r="H77" s="18"/>
      <c r="I77" s="17"/>
      <c r="J77" s="16"/>
      <c r="K77" s="16"/>
      <c r="L77" s="17"/>
      <c r="M77" s="17"/>
      <c r="N77" s="17"/>
      <c r="O77" s="16"/>
      <c r="P77" s="45"/>
      <c r="Q77" s="46"/>
      <c r="R77" s="74"/>
      <c r="S77" s="74"/>
    </row>
    <row r="78" spans="2:24" ht="119.25" hidden="1" customHeight="1" x14ac:dyDescent="0.25">
      <c r="B78" s="20" t="s">
        <v>268</v>
      </c>
      <c r="C78" s="20"/>
      <c r="D78" s="20" t="s">
        <v>269</v>
      </c>
      <c r="E78" s="20"/>
      <c r="F78" s="20"/>
      <c r="G78" s="20"/>
      <c r="H78" s="20"/>
      <c r="I78" s="20"/>
      <c r="J78" s="20"/>
      <c r="K78" s="20"/>
      <c r="L78" s="20"/>
      <c r="M78" s="20"/>
      <c r="N78" s="20"/>
      <c r="O78" s="20"/>
      <c r="P78" s="42"/>
      <c r="Q78" s="42"/>
      <c r="R78" s="42"/>
      <c r="S78" s="42"/>
    </row>
    <row r="79" spans="2:24" ht="84" hidden="1" customHeight="1" x14ac:dyDescent="0.25">
      <c r="B79" s="21" t="s">
        <v>270</v>
      </c>
      <c r="C79" s="21"/>
      <c r="D79" s="21" t="s">
        <v>271</v>
      </c>
      <c r="E79" s="21"/>
      <c r="F79" s="21"/>
      <c r="G79" s="21"/>
      <c r="H79" s="21"/>
      <c r="I79" s="21"/>
      <c r="J79" s="21"/>
      <c r="K79" s="21"/>
      <c r="L79" s="21"/>
      <c r="M79" s="21"/>
      <c r="N79" s="21"/>
      <c r="O79" s="21"/>
      <c r="P79" s="263">
        <f>P80+P81+P82+P83</f>
        <v>1493838.7</v>
      </c>
      <c r="Q79" s="263">
        <f t="shared" ref="Q79:S79" si="14">Q80+Q81+Q82+Q83</f>
        <v>1181527.93</v>
      </c>
      <c r="R79" s="263">
        <f t="shared" si="14"/>
        <v>0</v>
      </c>
      <c r="S79" s="263">
        <f t="shared" si="14"/>
        <v>312310.77</v>
      </c>
    </row>
    <row r="80" spans="2:24" ht="90" hidden="1" customHeight="1" x14ac:dyDescent="0.25">
      <c r="B80" s="29" t="s">
        <v>272</v>
      </c>
      <c r="C80" s="29" t="s">
        <v>273</v>
      </c>
      <c r="D80" s="23" t="s">
        <v>274</v>
      </c>
      <c r="E80" s="23" t="s">
        <v>60</v>
      </c>
      <c r="F80" s="23" t="s">
        <v>275</v>
      </c>
      <c r="G80" s="23" t="s">
        <v>62</v>
      </c>
      <c r="H80" s="23" t="s">
        <v>276</v>
      </c>
      <c r="I80" s="29" t="s">
        <v>64</v>
      </c>
      <c r="J80" s="29" t="s">
        <v>65</v>
      </c>
      <c r="K80" s="29" t="s">
        <v>87</v>
      </c>
      <c r="L80" s="29" t="s">
        <v>87</v>
      </c>
      <c r="M80" s="29" t="s">
        <v>66</v>
      </c>
      <c r="N80" s="30" t="s">
        <v>277</v>
      </c>
      <c r="O80" s="30">
        <v>2019</v>
      </c>
      <c r="P80" s="26">
        <v>493252.18</v>
      </c>
      <c r="Q80" s="26">
        <v>419264.35</v>
      </c>
      <c r="R80" s="26">
        <v>0</v>
      </c>
      <c r="S80" s="23">
        <f t="shared" ref="S80:S83" si="15">P80-Q80-R80</f>
        <v>73987.830000000016</v>
      </c>
    </row>
    <row r="81" spans="2:22" ht="90" hidden="1" customHeight="1" x14ac:dyDescent="0.25">
      <c r="B81" s="29" t="s">
        <v>278</v>
      </c>
      <c r="C81" s="29" t="s">
        <v>279</v>
      </c>
      <c r="D81" s="26" t="s">
        <v>280</v>
      </c>
      <c r="E81" s="26" t="s">
        <v>281</v>
      </c>
      <c r="F81" s="26" t="s">
        <v>282</v>
      </c>
      <c r="G81" s="26" t="s">
        <v>283</v>
      </c>
      <c r="H81" s="26" t="s">
        <v>276</v>
      </c>
      <c r="I81" s="29" t="s">
        <v>86</v>
      </c>
      <c r="J81" s="29" t="s">
        <v>30</v>
      </c>
      <c r="K81" s="29" t="s">
        <v>87</v>
      </c>
      <c r="L81" s="29" t="s">
        <v>87</v>
      </c>
      <c r="M81" s="29" t="s">
        <v>66</v>
      </c>
      <c r="N81" s="30" t="s">
        <v>284</v>
      </c>
      <c r="O81" s="30">
        <v>2019</v>
      </c>
      <c r="P81" s="26">
        <v>212596.85</v>
      </c>
      <c r="Q81" s="26">
        <v>180707.32</v>
      </c>
      <c r="R81" s="26">
        <v>0</v>
      </c>
      <c r="S81" s="26">
        <v>31889.53</v>
      </c>
    </row>
    <row r="82" spans="2:22" ht="129" hidden="1" customHeight="1" x14ac:dyDescent="0.25">
      <c r="B82" s="29" t="s">
        <v>285</v>
      </c>
      <c r="C82" s="29" t="s">
        <v>286</v>
      </c>
      <c r="D82" s="26" t="s">
        <v>1108</v>
      </c>
      <c r="E82" s="23" t="s">
        <v>93</v>
      </c>
      <c r="F82" s="23" t="s">
        <v>275</v>
      </c>
      <c r="G82" s="23" t="s">
        <v>287</v>
      </c>
      <c r="H82" s="23" t="s">
        <v>276</v>
      </c>
      <c r="I82" s="29" t="s">
        <v>64</v>
      </c>
      <c r="J82" s="29" t="s">
        <v>66</v>
      </c>
      <c r="K82" s="29" t="s">
        <v>87</v>
      </c>
      <c r="L82" s="29" t="s">
        <v>87</v>
      </c>
      <c r="M82" s="29" t="s">
        <v>66</v>
      </c>
      <c r="N82" s="30" t="s">
        <v>74</v>
      </c>
      <c r="O82" s="30">
        <v>2021</v>
      </c>
      <c r="P82" s="26">
        <v>370728.92</v>
      </c>
      <c r="Q82" s="26">
        <v>296836.45</v>
      </c>
      <c r="R82" s="26">
        <v>0</v>
      </c>
      <c r="S82" s="23">
        <v>73892.47</v>
      </c>
    </row>
    <row r="83" spans="2:22" ht="69" hidden="1" customHeight="1" x14ac:dyDescent="0.25">
      <c r="B83" s="29" t="s">
        <v>288</v>
      </c>
      <c r="C83" s="29" t="s">
        <v>289</v>
      </c>
      <c r="D83" s="26" t="s">
        <v>290</v>
      </c>
      <c r="E83" s="26" t="s">
        <v>186</v>
      </c>
      <c r="F83" s="26" t="s">
        <v>275</v>
      </c>
      <c r="G83" s="26" t="s">
        <v>187</v>
      </c>
      <c r="H83" s="26" t="s">
        <v>291</v>
      </c>
      <c r="I83" s="29" t="s">
        <v>64</v>
      </c>
      <c r="J83" s="29" t="s">
        <v>66</v>
      </c>
      <c r="K83" s="29" t="s">
        <v>87</v>
      </c>
      <c r="L83" s="29" t="s">
        <v>87</v>
      </c>
      <c r="M83" s="29" t="s">
        <v>66</v>
      </c>
      <c r="N83" s="30" t="s">
        <v>74</v>
      </c>
      <c r="O83" s="30">
        <v>2019</v>
      </c>
      <c r="P83" s="26">
        <v>417260.75</v>
      </c>
      <c r="Q83" s="26">
        <v>284719.81</v>
      </c>
      <c r="R83" s="26">
        <v>0</v>
      </c>
      <c r="S83" s="23">
        <f t="shared" si="15"/>
        <v>132540.94</v>
      </c>
    </row>
    <row r="84" spans="2:22" ht="147.75" hidden="1" customHeight="1" x14ac:dyDescent="0.25">
      <c r="B84" s="20" t="s">
        <v>292</v>
      </c>
      <c r="C84" s="20"/>
      <c r="D84" s="20" t="s">
        <v>293</v>
      </c>
      <c r="E84" s="20"/>
      <c r="F84" s="20"/>
      <c r="G84" s="20"/>
      <c r="H84" s="20"/>
      <c r="I84" s="20"/>
      <c r="J84" s="20"/>
      <c r="K84" s="20"/>
      <c r="L84" s="20"/>
      <c r="M84" s="20"/>
      <c r="N84" s="20"/>
      <c r="O84" s="20"/>
      <c r="P84" s="42"/>
      <c r="Q84" s="42"/>
      <c r="R84" s="42"/>
      <c r="S84" s="42"/>
    </row>
    <row r="85" spans="2:22" ht="147" customHeight="1" x14ac:dyDescent="0.25">
      <c r="B85" s="21" t="s">
        <v>294</v>
      </c>
      <c r="C85" s="21"/>
      <c r="D85" s="21" t="s">
        <v>295</v>
      </c>
      <c r="E85" s="21"/>
      <c r="F85" s="21"/>
      <c r="G85" s="21"/>
      <c r="H85" s="21"/>
      <c r="I85" s="21"/>
      <c r="J85" s="21"/>
      <c r="K85" s="21"/>
      <c r="L85" s="21"/>
      <c r="M85" s="21"/>
      <c r="N85" s="21"/>
      <c r="O85" s="21"/>
      <c r="P85" s="263">
        <f>P86+P87+P88</f>
        <v>970234.18</v>
      </c>
      <c r="Q85" s="263">
        <f>Q86+Q87+Q88</f>
        <v>824699.02</v>
      </c>
      <c r="R85" s="263">
        <f t="shared" ref="R85:S85" si="16">R86+R87+R88</f>
        <v>0</v>
      </c>
      <c r="S85" s="263">
        <f t="shared" si="16"/>
        <v>145535.16000000003</v>
      </c>
    </row>
    <row r="86" spans="2:22" ht="112.5" customHeight="1" x14ac:dyDescent="0.25">
      <c r="B86" s="29" t="s">
        <v>298</v>
      </c>
      <c r="C86" s="29" t="s">
        <v>299</v>
      </c>
      <c r="D86" s="26" t="s">
        <v>300</v>
      </c>
      <c r="E86" s="26" t="s">
        <v>138</v>
      </c>
      <c r="F86" s="26" t="s">
        <v>296</v>
      </c>
      <c r="G86" s="26" t="s">
        <v>301</v>
      </c>
      <c r="H86" s="26" t="s">
        <v>297</v>
      </c>
      <c r="I86" s="29" t="s">
        <v>86</v>
      </c>
      <c r="J86" s="29" t="s">
        <v>66</v>
      </c>
      <c r="K86" s="29" t="s">
        <v>87</v>
      </c>
      <c r="L86" s="29" t="s">
        <v>87</v>
      </c>
      <c r="M86" s="29" t="s">
        <v>66</v>
      </c>
      <c r="N86" s="30" t="s">
        <v>98</v>
      </c>
      <c r="O86" s="30">
        <v>2021</v>
      </c>
      <c r="P86" s="26">
        <v>332497.71000000002</v>
      </c>
      <c r="Q86" s="26">
        <v>282623.05</v>
      </c>
      <c r="R86" s="26">
        <v>0</v>
      </c>
      <c r="S86" s="23">
        <f t="shared" ref="S86" si="17">P86-Q86-R86</f>
        <v>49874.660000000033</v>
      </c>
    </row>
    <row r="87" spans="2:22" ht="66.75" customHeight="1" x14ac:dyDescent="0.25">
      <c r="B87" s="29" t="s">
        <v>1197</v>
      </c>
      <c r="C87" s="29" t="s">
        <v>1198</v>
      </c>
      <c r="D87" s="26" t="s">
        <v>1199</v>
      </c>
      <c r="E87" s="26" t="s">
        <v>1200</v>
      </c>
      <c r="F87" s="26" t="s">
        <v>296</v>
      </c>
      <c r="G87" s="26" t="s">
        <v>1201</v>
      </c>
      <c r="H87" s="26" t="s">
        <v>297</v>
      </c>
      <c r="I87" s="29" t="s">
        <v>86</v>
      </c>
      <c r="J87" s="29" t="s">
        <v>66</v>
      </c>
      <c r="K87" s="29" t="s">
        <v>87</v>
      </c>
      <c r="L87" s="29" t="s">
        <v>87</v>
      </c>
      <c r="M87" s="29" t="s">
        <v>66</v>
      </c>
      <c r="N87" s="30" t="s">
        <v>1191</v>
      </c>
      <c r="O87" s="30">
        <v>2022</v>
      </c>
      <c r="P87" s="26">
        <f>Q87+R87+S87</f>
        <v>340421.94</v>
      </c>
      <c r="Q87" s="26">
        <v>289358.65000000002</v>
      </c>
      <c r="R87" s="26">
        <v>0</v>
      </c>
      <c r="S87" s="26">
        <v>51063.29</v>
      </c>
    </row>
    <row r="88" spans="2:22" ht="128.25" customHeight="1" x14ac:dyDescent="0.25">
      <c r="B88" s="29" t="s">
        <v>1202</v>
      </c>
      <c r="C88" s="29" t="s">
        <v>1203</v>
      </c>
      <c r="D88" s="26" t="s">
        <v>1204</v>
      </c>
      <c r="E88" s="26" t="s">
        <v>152</v>
      </c>
      <c r="F88" s="26" t="s">
        <v>1205</v>
      </c>
      <c r="G88" s="26" t="s">
        <v>1206</v>
      </c>
      <c r="H88" s="26" t="s">
        <v>297</v>
      </c>
      <c r="I88" s="29" t="s">
        <v>86</v>
      </c>
      <c r="J88" s="29" t="s">
        <v>66</v>
      </c>
      <c r="K88" s="29" t="s">
        <v>87</v>
      </c>
      <c r="L88" s="29" t="s">
        <v>87</v>
      </c>
      <c r="M88" s="29" t="s">
        <v>66</v>
      </c>
      <c r="N88" s="30" t="s">
        <v>1207</v>
      </c>
      <c r="O88" s="30">
        <v>2022</v>
      </c>
      <c r="P88" s="26">
        <f>Q88+S88</f>
        <v>297314.53000000003</v>
      </c>
      <c r="Q88" s="26">
        <v>252717.32</v>
      </c>
      <c r="R88" s="26">
        <v>0</v>
      </c>
      <c r="S88" s="26">
        <v>44597.21</v>
      </c>
    </row>
    <row r="89" spans="2:22" ht="66.75" customHeight="1" x14ac:dyDescent="0.25">
      <c r="B89" s="29" t="s">
        <v>1197</v>
      </c>
      <c r="C89" s="29" t="s">
        <v>1198</v>
      </c>
      <c r="D89" s="26" t="s">
        <v>1199</v>
      </c>
      <c r="E89" s="26" t="s">
        <v>1200</v>
      </c>
      <c r="F89" s="26" t="s">
        <v>296</v>
      </c>
      <c r="G89" s="26" t="s">
        <v>1201</v>
      </c>
      <c r="H89" s="26" t="s">
        <v>297</v>
      </c>
      <c r="I89" s="29" t="s">
        <v>86</v>
      </c>
      <c r="J89" s="29" t="s">
        <v>66</v>
      </c>
      <c r="K89" s="29" t="s">
        <v>87</v>
      </c>
      <c r="L89" s="29" t="s">
        <v>87</v>
      </c>
      <c r="M89" s="29" t="s">
        <v>66</v>
      </c>
      <c r="N89" s="30" t="s">
        <v>1191</v>
      </c>
      <c r="O89" s="30">
        <v>2022</v>
      </c>
      <c r="P89" s="26">
        <f>Q89+R89+S89</f>
        <v>340463.14</v>
      </c>
      <c r="Q89" s="26">
        <v>289393.07</v>
      </c>
      <c r="R89" s="26">
        <v>0</v>
      </c>
      <c r="S89" s="26">
        <v>51070.07</v>
      </c>
    </row>
    <row r="90" spans="2:22" ht="128.25" customHeight="1" x14ac:dyDescent="0.25">
      <c r="B90" s="29" t="s">
        <v>1202</v>
      </c>
      <c r="C90" s="29" t="s">
        <v>1203</v>
      </c>
      <c r="D90" s="26" t="s">
        <v>1204</v>
      </c>
      <c r="E90" s="26" t="s">
        <v>152</v>
      </c>
      <c r="F90" s="26" t="s">
        <v>1205</v>
      </c>
      <c r="G90" s="26" t="s">
        <v>1206</v>
      </c>
      <c r="H90" s="26" t="s">
        <v>297</v>
      </c>
      <c r="I90" s="29" t="s">
        <v>86</v>
      </c>
      <c r="J90" s="29" t="s">
        <v>66</v>
      </c>
      <c r="K90" s="29" t="s">
        <v>87</v>
      </c>
      <c r="L90" s="29" t="s">
        <v>87</v>
      </c>
      <c r="M90" s="29" t="s">
        <v>66</v>
      </c>
      <c r="N90" s="30" t="s">
        <v>1207</v>
      </c>
      <c r="O90" s="30">
        <v>2022</v>
      </c>
      <c r="P90" s="26">
        <f>Q90+S90</f>
        <v>298332.39</v>
      </c>
      <c r="Q90" s="26">
        <v>253582.53</v>
      </c>
      <c r="R90" s="26">
        <v>0</v>
      </c>
      <c r="S90" s="26">
        <v>44749.86</v>
      </c>
    </row>
    <row r="91" spans="2:22" ht="68.25" hidden="1" customHeight="1" x14ac:dyDescent="0.25">
      <c r="B91" s="46" t="s">
        <v>302</v>
      </c>
      <c r="C91" s="46"/>
      <c r="D91" s="46" t="s">
        <v>1471</v>
      </c>
      <c r="E91" s="46"/>
      <c r="F91" s="46"/>
      <c r="G91" s="46"/>
      <c r="H91" s="46"/>
      <c r="I91" s="46"/>
      <c r="J91" s="46"/>
      <c r="K91" s="46"/>
      <c r="L91" s="46"/>
      <c r="M91" s="46"/>
      <c r="N91" s="46"/>
      <c r="O91" s="46"/>
      <c r="P91" s="46"/>
      <c r="Q91" s="46"/>
      <c r="R91" s="46"/>
      <c r="S91" s="46"/>
    </row>
    <row r="92" spans="2:22" ht="138.75" hidden="1" customHeight="1" x14ac:dyDescent="0.25">
      <c r="B92" s="20" t="s">
        <v>303</v>
      </c>
      <c r="C92" s="20"/>
      <c r="D92" s="20" t="s">
        <v>304</v>
      </c>
      <c r="E92" s="20"/>
      <c r="F92" s="20"/>
      <c r="G92" s="20"/>
      <c r="H92" s="20" t="s">
        <v>220</v>
      </c>
      <c r="I92" s="20"/>
      <c r="J92" s="20"/>
      <c r="K92" s="20"/>
      <c r="L92" s="20"/>
      <c r="M92" s="20"/>
      <c r="N92" s="20"/>
      <c r="O92" s="20"/>
      <c r="P92" s="42"/>
      <c r="Q92" s="42"/>
      <c r="R92" s="42"/>
      <c r="S92" s="42"/>
    </row>
    <row r="93" spans="2:22" ht="129.75" hidden="1" customHeight="1" x14ac:dyDescent="0.25">
      <c r="B93" s="21" t="s">
        <v>305</v>
      </c>
      <c r="C93" s="21"/>
      <c r="D93" s="21" t="s">
        <v>306</v>
      </c>
      <c r="E93" s="21"/>
      <c r="F93" s="21"/>
      <c r="G93" s="21"/>
      <c r="H93" s="21"/>
      <c r="I93" s="21"/>
      <c r="J93" s="21"/>
      <c r="K93" s="21"/>
      <c r="L93" s="21"/>
      <c r="M93" s="21"/>
      <c r="N93" s="21"/>
      <c r="O93" s="21"/>
      <c r="P93" s="278">
        <f>SUM(P94:P104)</f>
        <v>14893271.4</v>
      </c>
      <c r="Q93" s="278">
        <f>SUM(Q94:Q104)</f>
        <v>8830993.7300000004</v>
      </c>
      <c r="R93" s="278">
        <f t="shared" ref="R93:S93" si="18">SUM(R94:R104)</f>
        <v>0</v>
      </c>
      <c r="S93" s="278">
        <f t="shared" si="18"/>
        <v>6062277.6700000009</v>
      </c>
      <c r="V93" s="32"/>
    </row>
    <row r="94" spans="2:22" ht="128.25" hidden="1" customHeight="1" x14ac:dyDescent="0.25">
      <c r="B94" s="29" t="s">
        <v>307</v>
      </c>
      <c r="C94" s="29" t="s">
        <v>308</v>
      </c>
      <c r="D94" s="23" t="s">
        <v>309</v>
      </c>
      <c r="E94" s="23" t="s">
        <v>310</v>
      </c>
      <c r="F94" s="23" t="s">
        <v>311</v>
      </c>
      <c r="G94" s="23" t="s">
        <v>162</v>
      </c>
      <c r="H94" s="23" t="s">
        <v>312</v>
      </c>
      <c r="I94" s="29" t="s">
        <v>64</v>
      </c>
      <c r="J94" s="29" t="s">
        <v>66</v>
      </c>
      <c r="K94" s="29" t="s">
        <v>87</v>
      </c>
      <c r="L94" s="29" t="s">
        <v>87</v>
      </c>
      <c r="M94" s="29" t="s">
        <v>66</v>
      </c>
      <c r="N94" s="30" t="s">
        <v>126</v>
      </c>
      <c r="O94" s="30">
        <v>2019</v>
      </c>
      <c r="P94" s="26">
        <v>1392800</v>
      </c>
      <c r="Q94" s="26">
        <v>789008.78</v>
      </c>
      <c r="R94" s="26">
        <v>0</v>
      </c>
      <c r="S94" s="23">
        <f t="shared" ref="S94:S107" si="19">P94-Q94-R94</f>
        <v>603791.22</v>
      </c>
    </row>
    <row r="95" spans="2:22" ht="102.75" hidden="1" customHeight="1" x14ac:dyDescent="0.25">
      <c r="B95" s="29" t="s">
        <v>313</v>
      </c>
      <c r="C95" s="29" t="s">
        <v>314</v>
      </c>
      <c r="D95" s="26" t="s">
        <v>315</v>
      </c>
      <c r="E95" s="26" t="s">
        <v>316</v>
      </c>
      <c r="F95" s="26" t="s">
        <v>311</v>
      </c>
      <c r="G95" s="26" t="s">
        <v>187</v>
      </c>
      <c r="H95" s="26" t="s">
        <v>312</v>
      </c>
      <c r="I95" s="29" t="s">
        <v>64</v>
      </c>
      <c r="J95" s="29" t="s">
        <v>66</v>
      </c>
      <c r="K95" s="29" t="s">
        <v>87</v>
      </c>
      <c r="L95" s="29" t="s">
        <v>87</v>
      </c>
      <c r="M95" s="29" t="s">
        <v>66</v>
      </c>
      <c r="N95" s="30" t="s">
        <v>67</v>
      </c>
      <c r="O95" s="30">
        <v>2020</v>
      </c>
      <c r="P95" s="26">
        <v>1229574.68</v>
      </c>
      <c r="Q95" s="26">
        <v>823834.4</v>
      </c>
      <c r="R95" s="26">
        <v>0</v>
      </c>
      <c r="S95" s="23">
        <f t="shared" si="19"/>
        <v>405740.27999999991</v>
      </c>
    </row>
    <row r="96" spans="2:22" ht="111.75" hidden="1" customHeight="1" x14ac:dyDescent="0.25">
      <c r="B96" s="29" t="s">
        <v>317</v>
      </c>
      <c r="C96" s="29" t="s">
        <v>318</v>
      </c>
      <c r="D96" s="26" t="s">
        <v>319</v>
      </c>
      <c r="E96" s="26" t="s">
        <v>320</v>
      </c>
      <c r="F96" s="26" t="s">
        <v>311</v>
      </c>
      <c r="G96" s="26" t="s">
        <v>146</v>
      </c>
      <c r="H96" s="26" t="s">
        <v>312</v>
      </c>
      <c r="I96" s="29" t="s">
        <v>64</v>
      </c>
      <c r="J96" s="29" t="s">
        <v>65</v>
      </c>
      <c r="K96" s="29" t="s">
        <v>87</v>
      </c>
      <c r="L96" s="29" t="s">
        <v>87</v>
      </c>
      <c r="M96" s="29" t="s">
        <v>66</v>
      </c>
      <c r="N96" s="30" t="s">
        <v>126</v>
      </c>
      <c r="O96" s="30">
        <v>2018</v>
      </c>
      <c r="P96" s="26">
        <v>3744065.92</v>
      </c>
      <c r="Q96" s="26">
        <v>1713584.68</v>
      </c>
      <c r="R96" s="26">
        <v>0</v>
      </c>
      <c r="S96" s="26">
        <f t="shared" si="19"/>
        <v>2030481.24</v>
      </c>
    </row>
    <row r="97" spans="1:24" ht="129.75" hidden="1" customHeight="1" x14ac:dyDescent="0.25">
      <c r="B97" s="29" t="s">
        <v>321</v>
      </c>
      <c r="C97" s="29" t="s">
        <v>322</v>
      </c>
      <c r="D97" s="26" t="s">
        <v>323</v>
      </c>
      <c r="E97" s="26" t="s">
        <v>324</v>
      </c>
      <c r="F97" s="26" t="s">
        <v>311</v>
      </c>
      <c r="G97" s="26" t="s">
        <v>73</v>
      </c>
      <c r="H97" s="26" t="s">
        <v>312</v>
      </c>
      <c r="I97" s="29" t="s">
        <v>64</v>
      </c>
      <c r="J97" s="29" t="s">
        <v>66</v>
      </c>
      <c r="K97" s="29" t="s">
        <v>87</v>
      </c>
      <c r="L97" s="29" t="s">
        <v>87</v>
      </c>
      <c r="M97" s="29" t="s">
        <v>66</v>
      </c>
      <c r="N97" s="30" t="s">
        <v>126</v>
      </c>
      <c r="O97" s="30">
        <v>2019</v>
      </c>
      <c r="P97" s="26">
        <v>1665450</v>
      </c>
      <c r="Q97" s="26">
        <v>1110408</v>
      </c>
      <c r="R97" s="26">
        <v>0</v>
      </c>
      <c r="S97" s="23">
        <f t="shared" si="19"/>
        <v>555042</v>
      </c>
    </row>
    <row r="98" spans="1:24" ht="114.75" hidden="1" customHeight="1" x14ac:dyDescent="0.25">
      <c r="B98" s="29" t="s">
        <v>325</v>
      </c>
      <c r="C98" s="29" t="s">
        <v>326</v>
      </c>
      <c r="D98" s="26" t="s">
        <v>327</v>
      </c>
      <c r="E98" s="26" t="s">
        <v>328</v>
      </c>
      <c r="F98" s="26" t="s">
        <v>311</v>
      </c>
      <c r="G98" s="26" t="s">
        <v>94</v>
      </c>
      <c r="H98" s="26" t="s">
        <v>312</v>
      </c>
      <c r="I98" s="29" t="s">
        <v>64</v>
      </c>
      <c r="J98" s="29" t="s">
        <v>66</v>
      </c>
      <c r="K98" s="29" t="s">
        <v>87</v>
      </c>
      <c r="L98" s="29" t="s">
        <v>87</v>
      </c>
      <c r="M98" s="29" t="s">
        <v>66</v>
      </c>
      <c r="N98" s="30" t="s">
        <v>126</v>
      </c>
      <c r="O98" s="30">
        <v>2019</v>
      </c>
      <c r="P98" s="26">
        <v>1226741.69</v>
      </c>
      <c r="Q98" s="26">
        <v>824798.84</v>
      </c>
      <c r="R98" s="26">
        <v>0</v>
      </c>
      <c r="S98" s="23">
        <f t="shared" si="19"/>
        <v>401942.85</v>
      </c>
    </row>
    <row r="99" spans="1:24" ht="66" hidden="1" customHeight="1" x14ac:dyDescent="0.25">
      <c r="B99" s="29" t="s">
        <v>329</v>
      </c>
      <c r="C99" s="29" t="s">
        <v>330</v>
      </c>
      <c r="D99" s="26" t="s">
        <v>331</v>
      </c>
      <c r="E99" s="26" t="s">
        <v>332</v>
      </c>
      <c r="F99" s="26" t="s">
        <v>311</v>
      </c>
      <c r="G99" s="26" t="s">
        <v>204</v>
      </c>
      <c r="H99" s="26" t="s">
        <v>312</v>
      </c>
      <c r="I99" s="29" t="s">
        <v>64</v>
      </c>
      <c r="J99" s="29" t="s">
        <v>66</v>
      </c>
      <c r="K99" s="29" t="s">
        <v>87</v>
      </c>
      <c r="L99" s="29" t="s">
        <v>87</v>
      </c>
      <c r="M99" s="29" t="s">
        <v>66</v>
      </c>
      <c r="N99" s="30" t="s">
        <v>126</v>
      </c>
      <c r="O99" s="30">
        <v>2019</v>
      </c>
      <c r="P99" s="26">
        <v>2011598.52</v>
      </c>
      <c r="Q99" s="47">
        <v>1609278.82</v>
      </c>
      <c r="R99" s="26">
        <v>0</v>
      </c>
      <c r="S99" s="23">
        <f t="shared" si="19"/>
        <v>402319.69999999995</v>
      </c>
    </row>
    <row r="100" spans="1:24" ht="100.5" hidden="1" customHeight="1" x14ac:dyDescent="0.25">
      <c r="B100" s="29" t="s">
        <v>333</v>
      </c>
      <c r="C100" s="29" t="s">
        <v>334</v>
      </c>
      <c r="D100" s="26" t="s">
        <v>335</v>
      </c>
      <c r="E100" s="26" t="s">
        <v>336</v>
      </c>
      <c r="F100" s="26" t="s">
        <v>311</v>
      </c>
      <c r="G100" s="26" t="s">
        <v>162</v>
      </c>
      <c r="H100" s="26" t="s">
        <v>312</v>
      </c>
      <c r="I100" s="29" t="s">
        <v>64</v>
      </c>
      <c r="J100" s="29" t="s">
        <v>66</v>
      </c>
      <c r="K100" s="29" t="s">
        <v>87</v>
      </c>
      <c r="L100" s="29" t="s">
        <v>87</v>
      </c>
      <c r="M100" s="29" t="s">
        <v>66</v>
      </c>
      <c r="N100" s="30" t="s">
        <v>104</v>
      </c>
      <c r="O100" s="30">
        <v>2021</v>
      </c>
      <c r="P100" s="26">
        <v>407141.75</v>
      </c>
      <c r="Q100" s="26">
        <v>169000</v>
      </c>
      <c r="R100" s="26">
        <v>0</v>
      </c>
      <c r="S100" s="23">
        <f t="shared" si="19"/>
        <v>238141.75</v>
      </c>
    </row>
    <row r="101" spans="1:24" ht="126.75" hidden="1" customHeight="1" x14ac:dyDescent="0.25">
      <c r="B101" s="29" t="s">
        <v>337</v>
      </c>
      <c r="C101" s="29" t="s">
        <v>338</v>
      </c>
      <c r="D101" s="26" t="s">
        <v>339</v>
      </c>
      <c r="E101" s="26" t="s">
        <v>332</v>
      </c>
      <c r="F101" s="26" t="s">
        <v>311</v>
      </c>
      <c r="G101" s="26" t="s">
        <v>204</v>
      </c>
      <c r="H101" s="26" t="s">
        <v>312</v>
      </c>
      <c r="I101" s="29" t="s">
        <v>64</v>
      </c>
      <c r="J101" s="29" t="s">
        <v>66</v>
      </c>
      <c r="K101" s="29" t="s">
        <v>87</v>
      </c>
      <c r="L101" s="29" t="s">
        <v>87</v>
      </c>
      <c r="M101" s="29" t="s">
        <v>66</v>
      </c>
      <c r="N101" s="30" t="s">
        <v>122</v>
      </c>
      <c r="O101" s="30">
        <v>2021</v>
      </c>
      <c r="P101" s="47">
        <v>717269.99</v>
      </c>
      <c r="Q101" s="26">
        <v>573815.99</v>
      </c>
      <c r="R101" s="26">
        <v>0</v>
      </c>
      <c r="S101" s="47">
        <v>143454</v>
      </c>
    </row>
    <row r="102" spans="1:24" s="27" customFormat="1" ht="104.25" hidden="1" customHeight="1" x14ac:dyDescent="0.25">
      <c r="B102" s="29" t="s">
        <v>341</v>
      </c>
      <c r="C102" s="29" t="s">
        <v>342</v>
      </c>
      <c r="D102" s="26" t="s">
        <v>343</v>
      </c>
      <c r="E102" s="26" t="s">
        <v>324</v>
      </c>
      <c r="F102" s="26" t="s">
        <v>311</v>
      </c>
      <c r="G102" s="26" t="s">
        <v>73</v>
      </c>
      <c r="H102" s="26" t="s">
        <v>312</v>
      </c>
      <c r="I102" s="29" t="s">
        <v>64</v>
      </c>
      <c r="J102" s="29"/>
      <c r="K102" s="29" t="s">
        <v>87</v>
      </c>
      <c r="L102" s="29" t="s">
        <v>87</v>
      </c>
      <c r="M102" s="29" t="s">
        <v>66</v>
      </c>
      <c r="N102" s="30" t="s">
        <v>98</v>
      </c>
      <c r="O102" s="30">
        <v>2020</v>
      </c>
      <c r="P102" s="47">
        <v>1193327.6499999999</v>
      </c>
      <c r="Q102" s="26">
        <v>528530.03</v>
      </c>
      <c r="R102" s="26">
        <v>0</v>
      </c>
      <c r="S102" s="23">
        <f t="shared" si="19"/>
        <v>664797.61999999988</v>
      </c>
      <c r="T102" s="6"/>
      <c r="U102" s="6"/>
      <c r="V102" s="6"/>
      <c r="W102" s="6"/>
      <c r="X102" s="6"/>
    </row>
    <row r="103" spans="1:24" s="27" customFormat="1" ht="78.75" hidden="1" customHeight="1" x14ac:dyDescent="0.25">
      <c r="A103" s="27" t="s">
        <v>220</v>
      </c>
      <c r="B103" s="29" t="s">
        <v>344</v>
      </c>
      <c r="C103" s="29" t="s">
        <v>345</v>
      </c>
      <c r="D103" s="26" t="s">
        <v>346</v>
      </c>
      <c r="E103" s="26" t="s">
        <v>316</v>
      </c>
      <c r="F103" s="26" t="s">
        <v>311</v>
      </c>
      <c r="G103" s="26" t="s">
        <v>187</v>
      </c>
      <c r="H103" s="26" t="s">
        <v>312</v>
      </c>
      <c r="I103" s="29" t="s">
        <v>64</v>
      </c>
      <c r="J103" s="29" t="s">
        <v>66</v>
      </c>
      <c r="K103" s="29" t="s">
        <v>87</v>
      </c>
      <c r="L103" s="29" t="s">
        <v>87</v>
      </c>
      <c r="M103" s="29" t="s">
        <v>66</v>
      </c>
      <c r="N103" s="30" t="s">
        <v>340</v>
      </c>
      <c r="O103" s="30">
        <v>2021</v>
      </c>
      <c r="P103" s="47">
        <v>677199.48</v>
      </c>
      <c r="Q103" s="26">
        <v>375000</v>
      </c>
      <c r="R103" s="26">
        <v>0</v>
      </c>
      <c r="S103" s="23">
        <f t="shared" si="19"/>
        <v>302199.48</v>
      </c>
      <c r="T103" s="6"/>
      <c r="U103" s="6"/>
      <c r="V103" s="6"/>
      <c r="W103" s="6"/>
      <c r="X103" s="6"/>
    </row>
    <row r="104" spans="1:24" s="27" customFormat="1" ht="153" hidden="1" customHeight="1" x14ac:dyDescent="0.25">
      <c r="B104" s="29" t="s">
        <v>347</v>
      </c>
      <c r="C104" s="29" t="s">
        <v>348</v>
      </c>
      <c r="D104" s="26" t="s">
        <v>349</v>
      </c>
      <c r="E104" s="26" t="s">
        <v>328</v>
      </c>
      <c r="F104" s="26" t="s">
        <v>311</v>
      </c>
      <c r="G104" s="26" t="s">
        <v>287</v>
      </c>
      <c r="H104" s="26" t="s">
        <v>312</v>
      </c>
      <c r="I104" s="29" t="s">
        <v>64</v>
      </c>
      <c r="J104" s="29" t="s">
        <v>66</v>
      </c>
      <c r="K104" s="29" t="s">
        <v>87</v>
      </c>
      <c r="L104" s="29" t="s">
        <v>87</v>
      </c>
      <c r="M104" s="29" t="s">
        <v>66</v>
      </c>
      <c r="N104" s="30" t="s">
        <v>98</v>
      </c>
      <c r="O104" s="30">
        <v>2021</v>
      </c>
      <c r="P104" s="47">
        <v>628101.72</v>
      </c>
      <c r="Q104" s="26">
        <v>313734.19</v>
      </c>
      <c r="R104" s="26">
        <v>0</v>
      </c>
      <c r="S104" s="23">
        <f t="shared" si="19"/>
        <v>314367.52999999997</v>
      </c>
      <c r="T104" s="6"/>
      <c r="U104" s="6"/>
      <c r="V104" s="6"/>
      <c r="W104" s="6"/>
      <c r="X104" s="6"/>
    </row>
    <row r="105" spans="1:24" ht="138.75" hidden="1" customHeight="1" x14ac:dyDescent="0.25">
      <c r="B105" s="21" t="s">
        <v>350</v>
      </c>
      <c r="C105" s="21"/>
      <c r="D105" s="21" t="s">
        <v>351</v>
      </c>
      <c r="E105" s="21"/>
      <c r="F105" s="21"/>
      <c r="G105" s="21"/>
      <c r="H105" s="21"/>
      <c r="I105" s="21"/>
      <c r="J105" s="21"/>
      <c r="K105" s="21"/>
      <c r="L105" s="21"/>
      <c r="M105" s="21"/>
      <c r="N105" s="21"/>
      <c r="O105" s="21"/>
      <c r="P105" s="263">
        <f>P106+P107</f>
        <v>1876374.99</v>
      </c>
      <c r="Q105" s="263">
        <f>Q106+Q107</f>
        <v>1594918.74</v>
      </c>
      <c r="R105" s="263">
        <f>R106+R107</f>
        <v>0</v>
      </c>
      <c r="S105" s="263">
        <f>S106+S107</f>
        <v>281456.25</v>
      </c>
    </row>
    <row r="106" spans="1:24" ht="143.25" hidden="1" customHeight="1" x14ac:dyDescent="0.25">
      <c r="B106" s="29" t="s">
        <v>352</v>
      </c>
      <c r="C106" s="29" t="s">
        <v>353</v>
      </c>
      <c r="D106" s="26" t="s">
        <v>354</v>
      </c>
      <c r="E106" s="26" t="s">
        <v>355</v>
      </c>
      <c r="F106" s="26" t="s">
        <v>311</v>
      </c>
      <c r="G106" s="26" t="s">
        <v>153</v>
      </c>
      <c r="H106" s="26" t="s">
        <v>356</v>
      </c>
      <c r="I106" s="29" t="s">
        <v>64</v>
      </c>
      <c r="J106" s="29" t="s">
        <v>66</v>
      </c>
      <c r="K106" s="29" t="s">
        <v>87</v>
      </c>
      <c r="L106" s="29" t="s">
        <v>87</v>
      </c>
      <c r="M106" s="29" t="s">
        <v>66</v>
      </c>
      <c r="N106" s="30" t="s">
        <v>78</v>
      </c>
      <c r="O106" s="30">
        <v>2020</v>
      </c>
      <c r="P106" s="26">
        <v>841155.99</v>
      </c>
      <c r="Q106" s="26">
        <v>714982.59</v>
      </c>
      <c r="R106" s="26">
        <v>0</v>
      </c>
      <c r="S106" s="23">
        <f t="shared" si="19"/>
        <v>126173.40000000002</v>
      </c>
    </row>
    <row r="107" spans="1:24" ht="143.25" hidden="1" customHeight="1" x14ac:dyDescent="0.25">
      <c r="B107" s="29" t="s">
        <v>357</v>
      </c>
      <c r="C107" s="29" t="s">
        <v>358</v>
      </c>
      <c r="D107" s="26" t="s">
        <v>359</v>
      </c>
      <c r="E107" s="26" t="s">
        <v>360</v>
      </c>
      <c r="F107" s="26" t="s">
        <v>311</v>
      </c>
      <c r="G107" s="26" t="s">
        <v>208</v>
      </c>
      <c r="H107" s="26" t="s">
        <v>361</v>
      </c>
      <c r="I107" s="29" t="s">
        <v>64</v>
      </c>
      <c r="J107" s="29" t="s">
        <v>65</v>
      </c>
      <c r="K107" s="29" t="s">
        <v>87</v>
      </c>
      <c r="L107" s="29" t="s">
        <v>87</v>
      </c>
      <c r="M107" s="29" t="s">
        <v>66</v>
      </c>
      <c r="N107" s="30" t="s">
        <v>67</v>
      </c>
      <c r="O107" s="30">
        <v>2018</v>
      </c>
      <c r="P107" s="26">
        <v>1035219</v>
      </c>
      <c r="Q107" s="26">
        <v>879936.15</v>
      </c>
      <c r="R107" s="26">
        <v>0</v>
      </c>
      <c r="S107" s="23">
        <f t="shared" si="19"/>
        <v>155282.84999999998</v>
      </c>
    </row>
    <row r="108" spans="1:24" ht="76.5" hidden="1" customHeight="1" x14ac:dyDescent="0.25">
      <c r="B108" s="21" t="s">
        <v>362</v>
      </c>
      <c r="C108" s="21"/>
      <c r="D108" s="21" t="s">
        <v>363</v>
      </c>
      <c r="E108" s="21"/>
      <c r="F108" s="21"/>
      <c r="G108" s="21"/>
      <c r="H108" s="21"/>
      <c r="I108" s="21"/>
      <c r="J108" s="21"/>
      <c r="K108" s="21"/>
      <c r="L108" s="21"/>
      <c r="M108" s="21"/>
      <c r="N108" s="21"/>
      <c r="O108" s="21"/>
      <c r="P108" s="263">
        <f>P109+P110+P111+P112+P113+P114</f>
        <v>3251580.6900000004</v>
      </c>
      <c r="Q108" s="263">
        <f t="shared" ref="Q108:S108" si="20">Q109+Q110+Q111+Q112+Q113+Q114</f>
        <v>2741982.62</v>
      </c>
      <c r="R108" s="263">
        <f t="shared" si="20"/>
        <v>0</v>
      </c>
      <c r="S108" s="263">
        <f t="shared" si="20"/>
        <v>509598.06999999983</v>
      </c>
    </row>
    <row r="109" spans="1:24" ht="95.25" hidden="1" customHeight="1" x14ac:dyDescent="0.25">
      <c r="B109" s="29" t="s">
        <v>364</v>
      </c>
      <c r="C109" s="29" t="s">
        <v>365</v>
      </c>
      <c r="D109" s="26" t="s">
        <v>366</v>
      </c>
      <c r="E109" s="26" t="s">
        <v>145</v>
      </c>
      <c r="F109" s="26" t="s">
        <v>311</v>
      </c>
      <c r="G109" s="26" t="s">
        <v>146</v>
      </c>
      <c r="H109" s="26" t="s">
        <v>367</v>
      </c>
      <c r="I109" s="29" t="s">
        <v>64</v>
      </c>
      <c r="J109" s="29" t="s">
        <v>66</v>
      </c>
      <c r="K109" s="29" t="s">
        <v>87</v>
      </c>
      <c r="L109" s="29" t="s">
        <v>87</v>
      </c>
      <c r="M109" s="29" t="s">
        <v>66</v>
      </c>
      <c r="N109" s="30" t="s">
        <v>126</v>
      </c>
      <c r="O109" s="30">
        <v>2019</v>
      </c>
      <c r="P109" s="26">
        <v>519466.19</v>
      </c>
      <c r="Q109" s="26">
        <v>441546.19</v>
      </c>
      <c r="R109" s="26">
        <v>0</v>
      </c>
      <c r="S109" s="23">
        <f t="shared" ref="S109:S114" si="21">P109-Q109-R109</f>
        <v>77920</v>
      </c>
    </row>
    <row r="110" spans="1:24" ht="47.25" hidden="1" customHeight="1" x14ac:dyDescent="0.25">
      <c r="B110" s="29" t="s">
        <v>368</v>
      </c>
      <c r="C110" s="29" t="s">
        <v>369</v>
      </c>
      <c r="D110" s="26" t="s">
        <v>370</v>
      </c>
      <c r="E110" s="26" t="s">
        <v>371</v>
      </c>
      <c r="F110" s="26" t="s">
        <v>311</v>
      </c>
      <c r="G110" s="26" t="s">
        <v>139</v>
      </c>
      <c r="H110" s="26" t="s">
        <v>372</v>
      </c>
      <c r="I110" s="29" t="s">
        <v>64</v>
      </c>
      <c r="J110" s="29" t="s">
        <v>66</v>
      </c>
      <c r="K110" s="29" t="s">
        <v>87</v>
      </c>
      <c r="L110" s="29" t="s">
        <v>87</v>
      </c>
      <c r="M110" s="29" t="s">
        <v>66</v>
      </c>
      <c r="N110" s="30" t="s">
        <v>277</v>
      </c>
      <c r="O110" s="30">
        <v>2019</v>
      </c>
      <c r="P110" s="26">
        <v>400317.65</v>
      </c>
      <c r="Q110" s="26">
        <v>340270</v>
      </c>
      <c r="R110" s="26">
        <v>0</v>
      </c>
      <c r="S110" s="23">
        <f t="shared" si="21"/>
        <v>60047.650000000023</v>
      </c>
    </row>
    <row r="111" spans="1:24" ht="63" hidden="1" customHeight="1" x14ac:dyDescent="0.25">
      <c r="B111" s="29" t="s">
        <v>373</v>
      </c>
      <c r="C111" s="29" t="s">
        <v>374</v>
      </c>
      <c r="D111" s="26" t="s">
        <v>375</v>
      </c>
      <c r="E111" s="26" t="s">
        <v>376</v>
      </c>
      <c r="F111" s="26" t="s">
        <v>311</v>
      </c>
      <c r="G111" s="26" t="s">
        <v>62</v>
      </c>
      <c r="H111" s="26" t="s">
        <v>367</v>
      </c>
      <c r="I111" s="29" t="s">
        <v>64</v>
      </c>
      <c r="J111" s="29" t="s">
        <v>66</v>
      </c>
      <c r="K111" s="29" t="s">
        <v>87</v>
      </c>
      <c r="L111" s="29" t="s">
        <v>87</v>
      </c>
      <c r="M111" s="29" t="s">
        <v>66</v>
      </c>
      <c r="N111" s="30" t="s">
        <v>67</v>
      </c>
      <c r="O111" s="30">
        <v>2019</v>
      </c>
      <c r="P111" s="26">
        <v>579324.81999999995</v>
      </c>
      <c r="Q111" s="26">
        <v>492426.09</v>
      </c>
      <c r="R111" s="26">
        <v>0</v>
      </c>
      <c r="S111" s="26">
        <f t="shared" si="21"/>
        <v>86898.729999999923</v>
      </c>
    </row>
    <row r="112" spans="1:24" ht="105" hidden="1" customHeight="1" x14ac:dyDescent="0.25">
      <c r="B112" s="29" t="s">
        <v>377</v>
      </c>
      <c r="C112" s="29" t="s">
        <v>378</v>
      </c>
      <c r="D112" s="26" t="s">
        <v>379</v>
      </c>
      <c r="E112" s="26" t="s">
        <v>380</v>
      </c>
      <c r="F112" s="26" t="s">
        <v>311</v>
      </c>
      <c r="G112" s="26" t="s">
        <v>94</v>
      </c>
      <c r="H112" s="26" t="s">
        <v>367</v>
      </c>
      <c r="I112" s="29" t="s">
        <v>64</v>
      </c>
      <c r="J112" s="29" t="s">
        <v>66</v>
      </c>
      <c r="K112" s="29" t="s">
        <v>87</v>
      </c>
      <c r="L112" s="29" t="s">
        <v>87</v>
      </c>
      <c r="M112" s="29" t="s">
        <v>66</v>
      </c>
      <c r="N112" s="30" t="s">
        <v>234</v>
      </c>
      <c r="O112" s="30">
        <v>2019</v>
      </c>
      <c r="P112" s="26">
        <v>566036.31999999995</v>
      </c>
      <c r="Q112" s="26">
        <v>459270</v>
      </c>
      <c r="R112" s="26">
        <v>0</v>
      </c>
      <c r="S112" s="26">
        <f t="shared" si="21"/>
        <v>106766.31999999995</v>
      </c>
    </row>
    <row r="113" spans="2:26" ht="76.5" hidden="1" customHeight="1" x14ac:dyDescent="0.25">
      <c r="B113" s="29" t="s">
        <v>381</v>
      </c>
      <c r="C113" s="29" t="s">
        <v>382</v>
      </c>
      <c r="D113" s="26" t="s">
        <v>383</v>
      </c>
      <c r="E113" s="26" t="s">
        <v>384</v>
      </c>
      <c r="F113" s="26" t="s">
        <v>311</v>
      </c>
      <c r="G113" s="26" t="s">
        <v>187</v>
      </c>
      <c r="H113" s="26" t="s">
        <v>367</v>
      </c>
      <c r="I113" s="29" t="s">
        <v>64</v>
      </c>
      <c r="J113" s="29" t="s">
        <v>66</v>
      </c>
      <c r="K113" s="29" t="s">
        <v>87</v>
      </c>
      <c r="L113" s="29" t="s">
        <v>87</v>
      </c>
      <c r="M113" s="29" t="s">
        <v>66</v>
      </c>
      <c r="N113" s="30" t="s">
        <v>193</v>
      </c>
      <c r="O113" s="30">
        <v>2019</v>
      </c>
      <c r="P113" s="26">
        <v>569725.67999999993</v>
      </c>
      <c r="Q113" s="26">
        <v>484266.82</v>
      </c>
      <c r="R113" s="26">
        <v>0</v>
      </c>
      <c r="S113" s="23">
        <f t="shared" si="21"/>
        <v>85458.859999999928</v>
      </c>
    </row>
    <row r="114" spans="2:26" ht="90" hidden="1" customHeight="1" x14ac:dyDescent="0.25">
      <c r="B114" s="29" t="s">
        <v>385</v>
      </c>
      <c r="C114" s="29" t="s">
        <v>386</v>
      </c>
      <c r="D114" s="26" t="s">
        <v>387</v>
      </c>
      <c r="E114" s="26" t="s">
        <v>152</v>
      </c>
      <c r="F114" s="26" t="s">
        <v>388</v>
      </c>
      <c r="G114" s="26" t="s">
        <v>204</v>
      </c>
      <c r="H114" s="26" t="s">
        <v>367</v>
      </c>
      <c r="I114" s="29" t="s">
        <v>64</v>
      </c>
      <c r="J114" s="29" t="s">
        <v>66</v>
      </c>
      <c r="K114" s="29" t="s">
        <v>87</v>
      </c>
      <c r="L114" s="29" t="s">
        <v>87</v>
      </c>
      <c r="M114" s="29" t="s">
        <v>66</v>
      </c>
      <c r="N114" s="30" t="s">
        <v>193</v>
      </c>
      <c r="O114" s="30">
        <v>2019</v>
      </c>
      <c r="P114" s="26">
        <v>616710.03</v>
      </c>
      <c r="Q114" s="26">
        <v>524203.52000000002</v>
      </c>
      <c r="R114" s="26">
        <v>0</v>
      </c>
      <c r="S114" s="23">
        <f t="shared" si="21"/>
        <v>92506.510000000009</v>
      </c>
    </row>
    <row r="115" spans="2:26" ht="89.25" hidden="1" x14ac:dyDescent="0.25">
      <c r="B115" s="43" t="str">
        <f>'[1]1 lentelė'!B108</f>
        <v>2.2.2.</v>
      </c>
      <c r="C115" s="43"/>
      <c r="D115" s="42" t="str">
        <f>'[1]1 lentelė'!D108</f>
        <v>Uždavinys: Gerinti regiono kraštovaizdžio tvarkymo ir apsaugos efektyvumą</v>
      </c>
      <c r="E115" s="43"/>
      <c r="F115" s="43"/>
      <c r="G115" s="43"/>
      <c r="H115" s="43"/>
      <c r="I115" s="43"/>
      <c r="J115" s="43"/>
      <c r="K115" s="43"/>
      <c r="L115" s="43"/>
      <c r="M115" s="43"/>
      <c r="N115" s="43"/>
      <c r="O115" s="43"/>
      <c r="P115" s="43"/>
      <c r="Q115" s="43"/>
      <c r="R115" s="43"/>
      <c r="S115" s="43"/>
      <c r="T115" s="27"/>
      <c r="U115" s="27"/>
      <c r="V115" s="27"/>
      <c r="W115" s="27"/>
      <c r="X115" s="27"/>
      <c r="Y115" s="27"/>
    </row>
    <row r="116" spans="2:26" ht="48.75" hidden="1" customHeight="1" x14ac:dyDescent="0.25">
      <c r="B116" s="21" t="s">
        <v>389</v>
      </c>
      <c r="C116" s="21"/>
      <c r="D116" s="21" t="s">
        <v>390</v>
      </c>
      <c r="E116" s="21"/>
      <c r="F116" s="21"/>
      <c r="G116" s="21"/>
      <c r="H116" s="21"/>
      <c r="I116" s="21"/>
      <c r="J116" s="21"/>
      <c r="K116" s="21"/>
      <c r="L116" s="21"/>
      <c r="M116" s="21"/>
      <c r="N116" s="21"/>
      <c r="O116" s="21"/>
      <c r="P116" s="278">
        <f>P117+P118+P119+P120+P121+P122+P123+P124+P125+P126+P127+P128</f>
        <v>3751495.1299999994</v>
      </c>
      <c r="Q116" s="278">
        <f t="shared" ref="Q116:S116" si="22">Q117+Q118+Q119+Q120+Q121+Q122+Q123+Q124+Q125+Q126+Q127+Q128</f>
        <v>2995847</v>
      </c>
      <c r="R116" s="278">
        <f t="shared" si="22"/>
        <v>0</v>
      </c>
      <c r="S116" s="278">
        <f t="shared" si="22"/>
        <v>755648.13000000012</v>
      </c>
      <c r="V116" s="6">
        <v>2995847</v>
      </c>
      <c r="W116" s="32">
        <f>V116-Q116</f>
        <v>0</v>
      </c>
    </row>
    <row r="117" spans="2:26" s="27" customFormat="1" ht="65.25" hidden="1" customHeight="1" x14ac:dyDescent="0.25">
      <c r="B117" s="29" t="s">
        <v>391</v>
      </c>
      <c r="C117" s="29" t="s">
        <v>392</v>
      </c>
      <c r="D117" s="26" t="s">
        <v>393</v>
      </c>
      <c r="E117" s="26" t="s">
        <v>186</v>
      </c>
      <c r="F117" s="26" t="s">
        <v>311</v>
      </c>
      <c r="G117" s="26" t="s">
        <v>187</v>
      </c>
      <c r="H117" s="26" t="s">
        <v>394</v>
      </c>
      <c r="I117" s="29" t="s">
        <v>64</v>
      </c>
      <c r="J117" s="29" t="s">
        <v>66</v>
      </c>
      <c r="K117" s="29" t="s">
        <v>87</v>
      </c>
      <c r="L117" s="29" t="s">
        <v>87</v>
      </c>
      <c r="M117" s="29" t="s">
        <v>66</v>
      </c>
      <c r="N117" s="30" t="s">
        <v>104</v>
      </c>
      <c r="O117" s="30">
        <v>2021</v>
      </c>
      <c r="P117" s="26">
        <v>42986.82</v>
      </c>
      <c r="Q117" s="26">
        <v>36538.79</v>
      </c>
      <c r="R117" s="26">
        <v>0</v>
      </c>
      <c r="S117" s="26">
        <f t="shared" ref="S117:S128" si="23">P117-Q117-R117</f>
        <v>6448.0299999999988</v>
      </c>
      <c r="T117" s="6"/>
      <c r="U117" s="6"/>
      <c r="V117" s="6"/>
      <c r="W117" s="6"/>
      <c r="X117" s="6"/>
    </row>
    <row r="118" spans="2:26" s="27" customFormat="1" ht="103.5" hidden="1" customHeight="1" x14ac:dyDescent="0.25">
      <c r="B118" s="29" t="s">
        <v>395</v>
      </c>
      <c r="C118" s="29" t="s">
        <v>396</v>
      </c>
      <c r="D118" s="26" t="s">
        <v>397</v>
      </c>
      <c r="E118" s="26" t="s">
        <v>93</v>
      </c>
      <c r="F118" s="26" t="s">
        <v>311</v>
      </c>
      <c r="G118" s="26" t="s">
        <v>94</v>
      </c>
      <c r="H118" s="26" t="s">
        <v>398</v>
      </c>
      <c r="I118" s="29" t="s">
        <v>64</v>
      </c>
      <c r="J118" s="29" t="s">
        <v>66</v>
      </c>
      <c r="K118" s="29" t="s">
        <v>87</v>
      </c>
      <c r="L118" s="29" t="s">
        <v>87</v>
      </c>
      <c r="M118" s="29" t="s">
        <v>66</v>
      </c>
      <c r="N118" s="30" t="s">
        <v>109</v>
      </c>
      <c r="O118" s="30">
        <v>2020</v>
      </c>
      <c r="P118" s="26">
        <v>390386.31</v>
      </c>
      <c r="Q118" s="26">
        <v>325725</v>
      </c>
      <c r="R118" s="26">
        <v>0</v>
      </c>
      <c r="S118" s="23">
        <f t="shared" si="23"/>
        <v>64661.31</v>
      </c>
      <c r="T118" s="6"/>
      <c r="U118" s="6"/>
      <c r="V118" s="6"/>
      <c r="W118" s="6"/>
      <c r="X118" s="6"/>
    </row>
    <row r="119" spans="2:26" s="27" customFormat="1" ht="78.75" hidden="1" customHeight="1" x14ac:dyDescent="0.25">
      <c r="B119" s="29" t="s">
        <v>399</v>
      </c>
      <c r="C119" s="29" t="s">
        <v>400</v>
      </c>
      <c r="D119" s="26" t="s">
        <v>401</v>
      </c>
      <c r="E119" s="26" t="s">
        <v>186</v>
      </c>
      <c r="F119" s="26" t="s">
        <v>311</v>
      </c>
      <c r="G119" s="26" t="s">
        <v>187</v>
      </c>
      <c r="H119" s="26" t="s">
        <v>394</v>
      </c>
      <c r="I119" s="29" t="s">
        <v>64</v>
      </c>
      <c r="J119" s="29" t="s">
        <v>66</v>
      </c>
      <c r="K119" s="29" t="s">
        <v>87</v>
      </c>
      <c r="L119" s="29" t="s">
        <v>87</v>
      </c>
      <c r="M119" s="29" t="s">
        <v>66</v>
      </c>
      <c r="N119" s="30" t="s">
        <v>109</v>
      </c>
      <c r="O119" s="30">
        <v>2020</v>
      </c>
      <c r="P119" s="26">
        <v>644100</v>
      </c>
      <c r="Q119" s="26">
        <v>547485</v>
      </c>
      <c r="R119" s="26">
        <v>0</v>
      </c>
      <c r="S119" s="23">
        <f t="shared" si="23"/>
        <v>96615</v>
      </c>
      <c r="T119" s="6"/>
      <c r="U119" s="6"/>
      <c r="V119" s="6"/>
      <c r="W119" s="6"/>
      <c r="X119" s="6"/>
    </row>
    <row r="120" spans="2:26" s="27" customFormat="1" ht="91.5" hidden="1" customHeight="1" x14ac:dyDescent="0.25">
      <c r="B120" s="192" t="s">
        <v>402</v>
      </c>
      <c r="C120" s="192" t="s">
        <v>403</v>
      </c>
      <c r="D120" s="201" t="s">
        <v>404</v>
      </c>
      <c r="E120" s="201" t="s">
        <v>152</v>
      </c>
      <c r="F120" s="201" t="s">
        <v>311</v>
      </c>
      <c r="G120" s="201" t="s">
        <v>204</v>
      </c>
      <c r="H120" s="201" t="s">
        <v>398</v>
      </c>
      <c r="I120" s="192" t="s">
        <v>64</v>
      </c>
      <c r="J120" s="192" t="s">
        <v>66</v>
      </c>
      <c r="K120" s="192" t="s">
        <v>87</v>
      </c>
      <c r="L120" s="192" t="s">
        <v>87</v>
      </c>
      <c r="M120" s="192" t="s">
        <v>66</v>
      </c>
      <c r="N120" s="276" t="s">
        <v>277</v>
      </c>
      <c r="O120" s="276">
        <v>2021</v>
      </c>
      <c r="P120" s="26">
        <v>811154.46</v>
      </c>
      <c r="Q120" s="201">
        <v>502660.84</v>
      </c>
      <c r="R120" s="201">
        <v>0</v>
      </c>
      <c r="S120" s="201">
        <f t="shared" si="23"/>
        <v>308493.61999999994</v>
      </c>
      <c r="T120" s="6"/>
      <c r="U120" s="6"/>
      <c r="V120" s="6"/>
      <c r="W120" s="6"/>
      <c r="X120" s="6"/>
    </row>
    <row r="121" spans="2:26" s="27" customFormat="1" ht="140.25" hidden="1" customHeight="1" x14ac:dyDescent="0.25">
      <c r="B121" s="29" t="s">
        <v>405</v>
      </c>
      <c r="C121" s="29" t="s">
        <v>406</v>
      </c>
      <c r="D121" s="26" t="s">
        <v>407</v>
      </c>
      <c r="E121" s="26" t="s">
        <v>60</v>
      </c>
      <c r="F121" s="26" t="s">
        <v>311</v>
      </c>
      <c r="G121" s="26" t="s">
        <v>73</v>
      </c>
      <c r="H121" s="26" t="s">
        <v>394</v>
      </c>
      <c r="I121" s="29" t="s">
        <v>64</v>
      </c>
      <c r="J121" s="29" t="s">
        <v>66</v>
      </c>
      <c r="K121" s="29" t="s">
        <v>87</v>
      </c>
      <c r="L121" s="29" t="s">
        <v>87</v>
      </c>
      <c r="M121" s="29" t="s">
        <v>66</v>
      </c>
      <c r="N121" s="30" t="s">
        <v>126</v>
      </c>
      <c r="O121" s="30">
        <v>2018</v>
      </c>
      <c r="P121" s="26">
        <v>238835.47</v>
      </c>
      <c r="Q121" s="26">
        <v>203010.14</v>
      </c>
      <c r="R121" s="26">
        <v>0</v>
      </c>
      <c r="S121" s="23">
        <f t="shared" si="23"/>
        <v>35825.329999999987</v>
      </c>
      <c r="T121" s="6"/>
      <c r="U121" s="6"/>
      <c r="V121" s="6"/>
      <c r="W121" s="6"/>
      <c r="X121" s="6"/>
    </row>
    <row r="122" spans="2:26" s="27" customFormat="1" ht="103.5" hidden="1" customHeight="1" x14ac:dyDescent="0.25">
      <c r="B122" s="29" t="s">
        <v>408</v>
      </c>
      <c r="C122" s="29" t="s">
        <v>409</v>
      </c>
      <c r="D122" s="26" t="s">
        <v>410</v>
      </c>
      <c r="E122" s="26" t="s">
        <v>60</v>
      </c>
      <c r="F122" s="26" t="s">
        <v>311</v>
      </c>
      <c r="G122" s="26" t="s">
        <v>73</v>
      </c>
      <c r="H122" s="26" t="s">
        <v>394</v>
      </c>
      <c r="I122" s="29" t="s">
        <v>64</v>
      </c>
      <c r="J122" s="29" t="s">
        <v>66</v>
      </c>
      <c r="K122" s="29" t="s">
        <v>87</v>
      </c>
      <c r="L122" s="29" t="s">
        <v>87</v>
      </c>
      <c r="M122" s="29" t="s">
        <v>66</v>
      </c>
      <c r="N122" s="30" t="s">
        <v>98</v>
      </c>
      <c r="O122" s="30">
        <v>2020</v>
      </c>
      <c r="P122" s="26">
        <v>170426</v>
      </c>
      <c r="Q122" s="47">
        <v>144862.1</v>
      </c>
      <c r="R122" s="26">
        <v>0</v>
      </c>
      <c r="S122" s="23">
        <f t="shared" si="23"/>
        <v>25563.899999999994</v>
      </c>
      <c r="T122" s="6"/>
      <c r="U122" s="6"/>
      <c r="V122" s="6"/>
      <c r="W122" s="6"/>
      <c r="X122" s="6"/>
    </row>
    <row r="123" spans="2:26" ht="68.25" hidden="1" customHeight="1" x14ac:dyDescent="0.25">
      <c r="B123" s="29" t="s">
        <v>411</v>
      </c>
      <c r="C123" s="29" t="s">
        <v>412</v>
      </c>
      <c r="D123" s="26" t="s">
        <v>413</v>
      </c>
      <c r="E123" s="26" t="s">
        <v>145</v>
      </c>
      <c r="F123" s="26" t="s">
        <v>311</v>
      </c>
      <c r="G123" s="26" t="s">
        <v>146</v>
      </c>
      <c r="H123" s="26" t="s">
        <v>394</v>
      </c>
      <c r="I123" s="29" t="s">
        <v>64</v>
      </c>
      <c r="J123" s="29" t="s">
        <v>66</v>
      </c>
      <c r="K123" s="29" t="s">
        <v>87</v>
      </c>
      <c r="L123" s="29" t="s">
        <v>87</v>
      </c>
      <c r="M123" s="29" t="s">
        <v>66</v>
      </c>
      <c r="N123" s="30" t="s">
        <v>105</v>
      </c>
      <c r="O123" s="30">
        <v>2020</v>
      </c>
      <c r="P123" s="26">
        <v>469589.24</v>
      </c>
      <c r="Q123" s="26">
        <v>399150.85</v>
      </c>
      <c r="R123" s="26">
        <v>0</v>
      </c>
      <c r="S123" s="26">
        <f t="shared" si="23"/>
        <v>70438.390000000014</v>
      </c>
    </row>
    <row r="124" spans="2:26" ht="87" hidden="1" customHeight="1" x14ac:dyDescent="0.25">
      <c r="B124" s="29" t="s">
        <v>414</v>
      </c>
      <c r="C124" s="29" t="s">
        <v>415</v>
      </c>
      <c r="D124" s="26" t="s">
        <v>416</v>
      </c>
      <c r="E124" s="26" t="s">
        <v>152</v>
      </c>
      <c r="F124" s="26" t="s">
        <v>311</v>
      </c>
      <c r="G124" s="26" t="s">
        <v>204</v>
      </c>
      <c r="H124" s="26" t="s">
        <v>394</v>
      </c>
      <c r="I124" s="29" t="s">
        <v>64</v>
      </c>
      <c r="J124" s="29" t="s">
        <v>66</v>
      </c>
      <c r="K124" s="29" t="s">
        <v>87</v>
      </c>
      <c r="L124" s="29" t="s">
        <v>87</v>
      </c>
      <c r="M124" s="29" t="s">
        <v>66</v>
      </c>
      <c r="N124" s="30" t="s">
        <v>340</v>
      </c>
      <c r="O124" s="30">
        <v>2020</v>
      </c>
      <c r="P124" s="47">
        <v>54753.52</v>
      </c>
      <c r="Q124" s="26">
        <v>46540.49</v>
      </c>
      <c r="R124" s="26">
        <v>0</v>
      </c>
      <c r="S124" s="23">
        <f t="shared" si="23"/>
        <v>8213.0299999999988</v>
      </c>
      <c r="Z124" s="32"/>
    </row>
    <row r="125" spans="2:26" s="27" customFormat="1" ht="80.25" hidden="1" customHeight="1" x14ac:dyDescent="0.25">
      <c r="B125" s="29" t="s">
        <v>417</v>
      </c>
      <c r="C125" s="29" t="s">
        <v>418</v>
      </c>
      <c r="D125" s="26" t="s">
        <v>419</v>
      </c>
      <c r="E125" s="26" t="s">
        <v>93</v>
      </c>
      <c r="F125" s="26" t="s">
        <v>311</v>
      </c>
      <c r="G125" s="26" t="s">
        <v>94</v>
      </c>
      <c r="H125" s="26" t="s">
        <v>398</v>
      </c>
      <c r="I125" s="29" t="s">
        <v>64</v>
      </c>
      <c r="J125" s="29" t="s">
        <v>66</v>
      </c>
      <c r="K125" s="29" t="s">
        <v>87</v>
      </c>
      <c r="L125" s="29" t="s">
        <v>87</v>
      </c>
      <c r="M125" s="29" t="s">
        <v>66</v>
      </c>
      <c r="N125" s="30" t="s">
        <v>420</v>
      </c>
      <c r="O125" s="30">
        <v>2020</v>
      </c>
      <c r="P125" s="26">
        <v>271859.99</v>
      </c>
      <c r="Q125" s="26">
        <v>231080.99</v>
      </c>
      <c r="R125" s="26">
        <v>0</v>
      </c>
      <c r="S125" s="26">
        <f t="shared" si="23"/>
        <v>40779</v>
      </c>
      <c r="T125" s="6"/>
      <c r="U125" s="6"/>
      <c r="V125" s="6"/>
      <c r="W125" s="6"/>
      <c r="X125" s="6"/>
    </row>
    <row r="126" spans="2:26" ht="102.75" hidden="1" customHeight="1" x14ac:dyDescent="0.25">
      <c r="B126" s="29" t="s">
        <v>421</v>
      </c>
      <c r="C126" s="29" t="s">
        <v>422</v>
      </c>
      <c r="D126" s="23" t="s">
        <v>423</v>
      </c>
      <c r="E126" s="23" t="s">
        <v>138</v>
      </c>
      <c r="F126" s="23" t="s">
        <v>311</v>
      </c>
      <c r="G126" s="23" t="s">
        <v>139</v>
      </c>
      <c r="H126" s="23" t="s">
        <v>398</v>
      </c>
      <c r="I126" s="29" t="s">
        <v>64</v>
      </c>
      <c r="J126" s="29" t="s">
        <v>66</v>
      </c>
      <c r="K126" s="29" t="s">
        <v>87</v>
      </c>
      <c r="L126" s="29" t="s">
        <v>87</v>
      </c>
      <c r="M126" s="29" t="s">
        <v>66</v>
      </c>
      <c r="N126" s="30" t="s">
        <v>424</v>
      </c>
      <c r="O126" s="30">
        <v>2022</v>
      </c>
      <c r="P126" s="26">
        <v>588235.30000000005</v>
      </c>
      <c r="Q126" s="26">
        <v>500000</v>
      </c>
      <c r="R126" s="26">
        <v>0</v>
      </c>
      <c r="S126" s="23">
        <f t="shared" si="23"/>
        <v>88235.300000000047</v>
      </c>
    </row>
    <row r="127" spans="2:26" ht="78" hidden="1" customHeight="1" x14ac:dyDescent="0.25">
      <c r="B127" s="29" t="s">
        <v>1070</v>
      </c>
      <c r="C127" s="29" t="s">
        <v>1072</v>
      </c>
      <c r="D127" s="26" t="s">
        <v>1073</v>
      </c>
      <c r="E127" s="26" t="s">
        <v>93</v>
      </c>
      <c r="F127" s="26" t="s">
        <v>311</v>
      </c>
      <c r="G127" s="26" t="s">
        <v>94</v>
      </c>
      <c r="H127" s="26" t="s">
        <v>398</v>
      </c>
      <c r="I127" s="29" t="s">
        <v>64</v>
      </c>
      <c r="J127" s="29" t="s">
        <v>66</v>
      </c>
      <c r="K127" s="29" t="s">
        <v>87</v>
      </c>
      <c r="L127" s="29" t="s">
        <v>87</v>
      </c>
      <c r="M127" s="29" t="s">
        <v>66</v>
      </c>
      <c r="N127" s="30" t="s">
        <v>216</v>
      </c>
      <c r="O127" s="30">
        <v>2021</v>
      </c>
      <c r="P127" s="26">
        <f>Q127+R127+S127</f>
        <v>53964.47</v>
      </c>
      <c r="Q127" s="26">
        <v>45869.8</v>
      </c>
      <c r="R127" s="26">
        <v>0</v>
      </c>
      <c r="S127" s="26">
        <v>8094.67</v>
      </c>
    </row>
    <row r="128" spans="2:26" ht="66" hidden="1" customHeight="1" x14ac:dyDescent="0.25">
      <c r="B128" s="29" t="s">
        <v>1071</v>
      </c>
      <c r="C128" s="29" t="s">
        <v>1075</v>
      </c>
      <c r="D128" s="26" t="s">
        <v>1074</v>
      </c>
      <c r="E128" s="26" t="s">
        <v>186</v>
      </c>
      <c r="F128" s="26" t="s">
        <v>311</v>
      </c>
      <c r="G128" s="26" t="s">
        <v>187</v>
      </c>
      <c r="H128" s="26" t="s">
        <v>394</v>
      </c>
      <c r="I128" s="29" t="s">
        <v>64</v>
      </c>
      <c r="J128" s="29" t="s">
        <v>66</v>
      </c>
      <c r="K128" s="29" t="s">
        <v>87</v>
      </c>
      <c r="L128" s="29" t="s">
        <v>87</v>
      </c>
      <c r="M128" s="29" t="s">
        <v>66</v>
      </c>
      <c r="N128" s="30" t="s">
        <v>1183</v>
      </c>
      <c r="O128" s="30">
        <v>2021</v>
      </c>
      <c r="P128" s="26">
        <v>15203.55</v>
      </c>
      <c r="Q128" s="26">
        <v>12923</v>
      </c>
      <c r="R128" s="26">
        <v>0</v>
      </c>
      <c r="S128" s="47">
        <f t="shared" si="23"/>
        <v>2280.5499999999993</v>
      </c>
    </row>
    <row r="129" spans="2:24" ht="55.5" hidden="1" customHeight="1" x14ac:dyDescent="0.25">
      <c r="B129" s="16" t="s">
        <v>425</v>
      </c>
      <c r="C129" s="17"/>
      <c r="D129" s="18" t="s">
        <v>426</v>
      </c>
      <c r="E129" s="17"/>
      <c r="F129" s="16"/>
      <c r="G129" s="17"/>
      <c r="H129" s="18"/>
      <c r="I129" s="17"/>
      <c r="J129" s="16"/>
      <c r="K129" s="16"/>
      <c r="L129" s="17"/>
      <c r="M129" s="17"/>
      <c r="N129" s="17"/>
      <c r="O129" s="16"/>
      <c r="P129" s="45"/>
      <c r="Q129" s="46"/>
      <c r="R129" s="74"/>
      <c r="S129" s="74"/>
    </row>
    <row r="130" spans="2:24" ht="132" hidden="1" customHeight="1" x14ac:dyDescent="0.25">
      <c r="B130" s="20" t="s">
        <v>427</v>
      </c>
      <c r="C130" s="20"/>
      <c r="D130" s="20" t="s">
        <v>428</v>
      </c>
      <c r="E130" s="20"/>
      <c r="F130" s="20"/>
      <c r="G130" s="20"/>
      <c r="H130" s="20"/>
      <c r="I130" s="20"/>
      <c r="J130" s="20"/>
      <c r="K130" s="20"/>
      <c r="L130" s="20"/>
      <c r="M130" s="20"/>
      <c r="N130" s="20"/>
      <c r="O130" s="20"/>
      <c r="P130" s="42"/>
      <c r="Q130" s="42"/>
      <c r="R130" s="42"/>
      <c r="S130" s="42"/>
    </row>
    <row r="131" spans="2:24" ht="60.75" hidden="1" customHeight="1" x14ac:dyDescent="0.25">
      <c r="B131" s="21" t="s">
        <v>429</v>
      </c>
      <c r="C131" s="21"/>
      <c r="D131" s="21" t="s">
        <v>1061</v>
      </c>
      <c r="E131" s="21"/>
      <c r="F131" s="21"/>
      <c r="G131" s="21"/>
      <c r="H131" s="21"/>
      <c r="I131" s="21"/>
      <c r="J131" s="21"/>
      <c r="K131" s="21"/>
      <c r="L131" s="21"/>
      <c r="M131" s="21"/>
      <c r="N131" s="21"/>
      <c r="O131" s="21"/>
      <c r="P131" s="263">
        <f>P132</f>
        <v>2044376</v>
      </c>
      <c r="Q131" s="263">
        <f t="shared" ref="Q131:S131" si="24">Q132</f>
        <v>1737720</v>
      </c>
      <c r="R131" s="263">
        <f t="shared" si="24"/>
        <v>0</v>
      </c>
      <c r="S131" s="263">
        <f t="shared" si="24"/>
        <v>306656</v>
      </c>
    </row>
    <row r="132" spans="2:24" ht="126" hidden="1" customHeight="1" x14ac:dyDescent="0.25">
      <c r="B132" s="29" t="s">
        <v>430</v>
      </c>
      <c r="C132" s="29" t="s">
        <v>431</v>
      </c>
      <c r="D132" s="23" t="s">
        <v>432</v>
      </c>
      <c r="E132" s="23" t="s">
        <v>145</v>
      </c>
      <c r="F132" s="23" t="s">
        <v>296</v>
      </c>
      <c r="G132" s="23" t="s">
        <v>146</v>
      </c>
      <c r="H132" s="23" t="s">
        <v>433</v>
      </c>
      <c r="I132" s="29" t="s">
        <v>148</v>
      </c>
      <c r="J132" s="29" t="s">
        <v>65</v>
      </c>
      <c r="K132" s="29" t="s">
        <v>87</v>
      </c>
      <c r="L132" s="29" t="s">
        <v>87</v>
      </c>
      <c r="M132" s="29" t="s">
        <v>66</v>
      </c>
      <c r="N132" s="30" t="s">
        <v>209</v>
      </c>
      <c r="O132" s="30">
        <v>2020</v>
      </c>
      <c r="P132" s="26">
        <v>2044376</v>
      </c>
      <c r="Q132" s="26">
        <v>1737720</v>
      </c>
      <c r="R132" s="26">
        <v>0</v>
      </c>
      <c r="S132" s="23">
        <f t="shared" ref="S132" si="25">P132-Q132-R132</f>
        <v>306656</v>
      </c>
    </row>
    <row r="133" spans="2:24" ht="63" hidden="1" customHeight="1" x14ac:dyDescent="0.25">
      <c r="B133" s="20" t="s">
        <v>434</v>
      </c>
      <c r="C133" s="20"/>
      <c r="D133" s="20" t="s">
        <v>435</v>
      </c>
      <c r="E133" s="20"/>
      <c r="F133" s="20"/>
      <c r="G133" s="20"/>
      <c r="H133" s="20"/>
      <c r="I133" s="20"/>
      <c r="J133" s="20"/>
      <c r="K133" s="20"/>
      <c r="L133" s="20"/>
      <c r="M133" s="20"/>
      <c r="N133" s="20"/>
      <c r="O133" s="20"/>
      <c r="P133" s="42"/>
      <c r="Q133" s="42"/>
      <c r="R133" s="42"/>
      <c r="S133" s="42"/>
    </row>
    <row r="134" spans="2:24" ht="78" hidden="1" customHeight="1" x14ac:dyDescent="0.25">
      <c r="B134" s="21" t="s">
        <v>436</v>
      </c>
      <c r="C134" s="21"/>
      <c r="D134" s="21" t="s">
        <v>437</v>
      </c>
      <c r="E134" s="21"/>
      <c r="F134" s="21"/>
      <c r="G134" s="21"/>
      <c r="H134" s="21"/>
      <c r="I134" s="21"/>
      <c r="J134" s="21"/>
      <c r="K134" s="21"/>
      <c r="L134" s="21"/>
      <c r="M134" s="21"/>
      <c r="N134" s="21"/>
      <c r="O134" s="21"/>
      <c r="P134" s="44"/>
      <c r="Q134" s="44"/>
      <c r="R134" s="44"/>
      <c r="S134" s="44"/>
    </row>
    <row r="135" spans="2:24" ht="101.25" hidden="1" customHeight="1" x14ac:dyDescent="0.25">
      <c r="B135" s="20" t="s">
        <v>438</v>
      </c>
      <c r="C135" s="20"/>
      <c r="D135" s="20" t="s">
        <v>439</v>
      </c>
      <c r="E135" s="20"/>
      <c r="F135" s="20"/>
      <c r="G135" s="20"/>
      <c r="H135" s="20"/>
      <c r="I135" s="20"/>
      <c r="J135" s="20"/>
      <c r="K135" s="20"/>
      <c r="L135" s="20"/>
      <c r="M135" s="20"/>
      <c r="N135" s="20"/>
      <c r="O135" s="20"/>
      <c r="P135" s="42"/>
      <c r="Q135" s="42"/>
      <c r="R135" s="42"/>
      <c r="S135" s="42"/>
    </row>
    <row r="136" spans="2:24" ht="92.25" hidden="1" customHeight="1" x14ac:dyDescent="0.25">
      <c r="B136" s="21" t="s">
        <v>440</v>
      </c>
      <c r="C136" s="21"/>
      <c r="D136" s="21" t="s">
        <v>441</v>
      </c>
      <c r="E136" s="21"/>
      <c r="F136" s="21"/>
      <c r="G136" s="21"/>
      <c r="H136" s="21"/>
      <c r="I136" s="21"/>
      <c r="J136" s="21"/>
      <c r="K136" s="21"/>
      <c r="L136" s="21"/>
      <c r="M136" s="21"/>
      <c r="N136" s="21"/>
      <c r="O136" s="21"/>
      <c r="P136" s="263">
        <f>P137</f>
        <v>7000000</v>
      </c>
      <c r="Q136" s="263">
        <f t="shared" ref="Q136:S136" si="26">Q137</f>
        <v>0</v>
      </c>
      <c r="R136" s="263">
        <f t="shared" si="26"/>
        <v>0</v>
      </c>
      <c r="S136" s="263">
        <f t="shared" si="26"/>
        <v>7000000</v>
      </c>
    </row>
    <row r="137" spans="2:24" s="27" customFormat="1" ht="42.75" hidden="1" customHeight="1" x14ac:dyDescent="0.25">
      <c r="B137" s="29" t="s">
        <v>442</v>
      </c>
      <c r="C137" s="29" t="s">
        <v>443</v>
      </c>
      <c r="D137" s="29" t="s">
        <v>444</v>
      </c>
      <c r="E137" s="29" t="s">
        <v>445</v>
      </c>
      <c r="F137" s="33" t="s">
        <v>66</v>
      </c>
      <c r="G137" s="29" t="s">
        <v>208</v>
      </c>
      <c r="H137" s="33" t="s">
        <v>66</v>
      </c>
      <c r="I137" s="33" t="s">
        <v>446</v>
      </c>
      <c r="J137" s="33" t="s">
        <v>66</v>
      </c>
      <c r="K137" s="33" t="s">
        <v>31</v>
      </c>
      <c r="L137" s="33" t="s">
        <v>66</v>
      </c>
      <c r="M137" s="33" t="s">
        <v>66</v>
      </c>
      <c r="N137" s="34" t="s">
        <v>447</v>
      </c>
      <c r="O137" s="29">
        <v>2021</v>
      </c>
      <c r="P137" s="26">
        <v>7000000</v>
      </c>
      <c r="Q137" s="26">
        <v>0</v>
      </c>
      <c r="R137" s="26">
        <v>0</v>
      </c>
      <c r="S137" s="23">
        <f t="shared" ref="S137" si="27">P137-Q137-R137</f>
        <v>7000000</v>
      </c>
      <c r="T137" s="6"/>
      <c r="U137" s="6"/>
      <c r="V137" s="6"/>
      <c r="W137" s="6"/>
      <c r="X137" s="6"/>
    </row>
    <row r="138" spans="2:24" ht="76.5" hidden="1" customHeight="1" x14ac:dyDescent="0.25">
      <c r="B138" s="35" t="s">
        <v>448</v>
      </c>
      <c r="C138" s="35"/>
      <c r="D138" s="15" t="s">
        <v>449</v>
      </c>
      <c r="E138" s="35"/>
      <c r="F138" s="35"/>
      <c r="G138" s="35"/>
      <c r="H138" s="35"/>
      <c r="I138" s="35"/>
      <c r="J138" s="35"/>
      <c r="K138" s="35"/>
      <c r="L138" s="35"/>
      <c r="M138" s="35"/>
      <c r="N138" s="35"/>
      <c r="O138" s="35"/>
      <c r="P138" s="57"/>
      <c r="Q138" s="57"/>
      <c r="R138" s="57"/>
      <c r="S138" s="57"/>
    </row>
    <row r="139" spans="2:24" ht="81.75" hidden="1" customHeight="1" x14ac:dyDescent="0.25">
      <c r="B139" s="16" t="s">
        <v>450</v>
      </c>
      <c r="C139" s="17"/>
      <c r="D139" s="18" t="s">
        <v>451</v>
      </c>
      <c r="E139" s="17"/>
      <c r="F139" s="16"/>
      <c r="G139" s="16"/>
      <c r="H139" s="17"/>
      <c r="I139" s="18"/>
      <c r="J139" s="17"/>
      <c r="K139" s="17"/>
      <c r="L139" s="16"/>
      <c r="M139" s="16"/>
      <c r="N139" s="16"/>
      <c r="O139" s="16"/>
      <c r="P139" s="74"/>
      <c r="Q139" s="74"/>
      <c r="R139" s="45"/>
      <c r="S139" s="45"/>
    </row>
    <row r="140" spans="2:24" ht="66.75" hidden="1" customHeight="1" x14ac:dyDescent="0.25">
      <c r="B140" s="20" t="s">
        <v>452</v>
      </c>
      <c r="C140" s="20"/>
      <c r="D140" s="20" t="s">
        <v>453</v>
      </c>
      <c r="E140" s="20"/>
      <c r="F140" s="20"/>
      <c r="G140" s="20"/>
      <c r="H140" s="20"/>
      <c r="I140" s="20"/>
      <c r="J140" s="20"/>
      <c r="K140" s="20"/>
      <c r="L140" s="20"/>
      <c r="M140" s="20"/>
      <c r="N140" s="20"/>
      <c r="O140" s="20"/>
      <c r="P140" s="42"/>
      <c r="Q140" s="42"/>
      <c r="R140" s="42"/>
      <c r="S140" s="42"/>
    </row>
    <row r="141" spans="2:24" ht="127.5" hidden="1" customHeight="1" x14ac:dyDescent="0.25">
      <c r="B141" s="21" t="s">
        <v>454</v>
      </c>
      <c r="C141" s="21"/>
      <c r="D141" s="21" t="s">
        <v>455</v>
      </c>
      <c r="E141" s="21"/>
      <c r="F141" s="21"/>
      <c r="G141" s="21"/>
      <c r="H141" s="21"/>
      <c r="I141" s="21"/>
      <c r="J141" s="21"/>
      <c r="K141" s="21"/>
      <c r="L141" s="21"/>
      <c r="M141" s="21"/>
      <c r="N141" s="21"/>
      <c r="O141" s="21"/>
      <c r="P141" s="263">
        <f>P142+P143</f>
        <v>998775.3</v>
      </c>
      <c r="Q141" s="263">
        <f t="shared" ref="Q141:S141" si="28">Q142+Q143</f>
        <v>845100.65</v>
      </c>
      <c r="R141" s="263">
        <f t="shared" si="28"/>
        <v>74567.7</v>
      </c>
      <c r="S141" s="263">
        <f t="shared" si="28"/>
        <v>79106.950000000026</v>
      </c>
    </row>
    <row r="142" spans="2:24" ht="87" hidden="1" customHeight="1" x14ac:dyDescent="0.25">
      <c r="B142" s="29" t="s">
        <v>456</v>
      </c>
      <c r="C142" s="29" t="s">
        <v>457</v>
      </c>
      <c r="D142" s="26" t="s">
        <v>458</v>
      </c>
      <c r="E142" s="26" t="s">
        <v>152</v>
      </c>
      <c r="F142" s="26" t="s">
        <v>1208</v>
      </c>
      <c r="G142" s="23" t="s">
        <v>204</v>
      </c>
      <c r="H142" s="23" t="s">
        <v>460</v>
      </c>
      <c r="I142" s="29" t="s">
        <v>64</v>
      </c>
      <c r="J142" s="29" t="s">
        <v>65</v>
      </c>
      <c r="K142" s="33" t="s">
        <v>66</v>
      </c>
      <c r="L142" s="33" t="s">
        <v>66</v>
      </c>
      <c r="M142" s="33" t="s">
        <v>66</v>
      </c>
      <c r="N142" s="30" t="s">
        <v>235</v>
      </c>
      <c r="O142" s="30">
        <v>2020</v>
      </c>
      <c r="P142" s="26">
        <v>635775.30000000005</v>
      </c>
      <c r="Q142" s="26">
        <v>536550.65</v>
      </c>
      <c r="R142" s="26">
        <v>47342.7</v>
      </c>
      <c r="S142" s="23">
        <f t="shared" ref="S142:S143" si="29">P142-Q142-R142</f>
        <v>51881.950000000026</v>
      </c>
    </row>
    <row r="143" spans="2:24" ht="71.25" hidden="1" customHeight="1" x14ac:dyDescent="0.25">
      <c r="B143" s="29" t="s">
        <v>1209</v>
      </c>
      <c r="C143" s="29" t="s">
        <v>1210</v>
      </c>
      <c r="D143" s="26" t="s">
        <v>1211</v>
      </c>
      <c r="E143" s="26" t="s">
        <v>152</v>
      </c>
      <c r="F143" s="26" t="s">
        <v>1208</v>
      </c>
      <c r="G143" s="26" t="s">
        <v>204</v>
      </c>
      <c r="H143" s="26" t="s">
        <v>460</v>
      </c>
      <c r="I143" s="29" t="s">
        <v>64</v>
      </c>
      <c r="J143" s="29" t="s">
        <v>66</v>
      </c>
      <c r="K143" s="33" t="s">
        <v>66</v>
      </c>
      <c r="L143" s="33" t="s">
        <v>66</v>
      </c>
      <c r="M143" s="33" t="s">
        <v>66</v>
      </c>
      <c r="N143" s="30">
        <v>2020</v>
      </c>
      <c r="O143" s="30">
        <v>2022</v>
      </c>
      <c r="P143" s="26">
        <v>363000</v>
      </c>
      <c r="Q143" s="26">
        <v>308550</v>
      </c>
      <c r="R143" s="26">
        <v>27225</v>
      </c>
      <c r="S143" s="26">
        <f t="shared" si="29"/>
        <v>27225</v>
      </c>
    </row>
    <row r="144" spans="2:24" ht="67.5" hidden="1" customHeight="1" x14ac:dyDescent="0.25">
      <c r="B144" s="21" t="s">
        <v>461</v>
      </c>
      <c r="C144" s="21"/>
      <c r="D144" s="21" t="s">
        <v>462</v>
      </c>
      <c r="E144" s="21"/>
      <c r="F144" s="21"/>
      <c r="G144" s="21"/>
      <c r="H144" s="21"/>
      <c r="I144" s="21"/>
      <c r="J144" s="21"/>
      <c r="K144" s="21"/>
      <c r="L144" s="21"/>
      <c r="M144" s="21"/>
      <c r="N144" s="21"/>
      <c r="O144" s="21"/>
      <c r="P144" s="263">
        <f>P145+P146+P147</f>
        <v>1226029.76</v>
      </c>
      <c r="Q144" s="263">
        <f t="shared" ref="Q144:S144" si="30">Q145+Q146+Q147</f>
        <v>830529</v>
      </c>
      <c r="R144" s="263">
        <f t="shared" si="30"/>
        <v>73280.649999999994</v>
      </c>
      <c r="S144" s="263">
        <f t="shared" si="30"/>
        <v>322220.11000000004</v>
      </c>
    </row>
    <row r="145" spans="2:19" ht="168" hidden="1" customHeight="1" x14ac:dyDescent="0.25">
      <c r="B145" s="29" t="s">
        <v>463</v>
      </c>
      <c r="C145" s="29" t="s">
        <v>464</v>
      </c>
      <c r="D145" s="26" t="s">
        <v>465</v>
      </c>
      <c r="E145" s="23" t="s">
        <v>60</v>
      </c>
      <c r="F145" s="23" t="s">
        <v>459</v>
      </c>
      <c r="G145" s="23" t="s">
        <v>73</v>
      </c>
      <c r="H145" s="23" t="s">
        <v>466</v>
      </c>
      <c r="I145" s="29" t="s">
        <v>64</v>
      </c>
      <c r="J145" s="29" t="s">
        <v>65</v>
      </c>
      <c r="K145" s="33" t="s">
        <v>66</v>
      </c>
      <c r="L145" s="33" t="s">
        <v>66</v>
      </c>
      <c r="M145" s="33" t="s">
        <v>66</v>
      </c>
      <c r="N145" s="30" t="s">
        <v>447</v>
      </c>
      <c r="O145" s="30">
        <v>2020</v>
      </c>
      <c r="P145" s="26">
        <v>506137.67</v>
      </c>
      <c r="Q145" s="26">
        <v>276000</v>
      </c>
      <c r="R145" s="26">
        <v>24352</v>
      </c>
      <c r="S145" s="23">
        <v>205785.67</v>
      </c>
    </row>
    <row r="146" spans="2:19" ht="69" hidden="1" customHeight="1" x14ac:dyDescent="0.25">
      <c r="B146" s="29" t="s">
        <v>467</v>
      </c>
      <c r="C146" s="29" t="s">
        <v>468</v>
      </c>
      <c r="D146" s="23" t="s">
        <v>469</v>
      </c>
      <c r="E146" s="23" t="s">
        <v>93</v>
      </c>
      <c r="F146" s="23" t="s">
        <v>459</v>
      </c>
      <c r="G146" s="23" t="s">
        <v>94</v>
      </c>
      <c r="H146" s="23" t="s">
        <v>466</v>
      </c>
      <c r="I146" s="29" t="s">
        <v>64</v>
      </c>
      <c r="J146" s="33" t="s">
        <v>66</v>
      </c>
      <c r="K146" s="33" t="s">
        <v>66</v>
      </c>
      <c r="L146" s="33" t="s">
        <v>66</v>
      </c>
      <c r="M146" s="33" t="s">
        <v>66</v>
      </c>
      <c r="N146" s="30" t="s">
        <v>470</v>
      </c>
      <c r="O146" s="30">
        <v>2019</v>
      </c>
      <c r="P146" s="26">
        <v>361401</v>
      </c>
      <c r="Q146" s="26">
        <v>282125</v>
      </c>
      <c r="R146" s="26">
        <v>24893</v>
      </c>
      <c r="S146" s="23">
        <f t="shared" ref="S146:S147" si="31">P146-Q146-R146</f>
        <v>54383</v>
      </c>
    </row>
    <row r="147" spans="2:19" ht="64.5" hidden="1" customHeight="1" x14ac:dyDescent="0.25">
      <c r="B147" s="29" t="s">
        <v>471</v>
      </c>
      <c r="C147" s="29" t="s">
        <v>472</v>
      </c>
      <c r="D147" s="23" t="s">
        <v>473</v>
      </c>
      <c r="E147" s="23" t="s">
        <v>138</v>
      </c>
      <c r="F147" s="23" t="s">
        <v>459</v>
      </c>
      <c r="G147" s="23" t="s">
        <v>162</v>
      </c>
      <c r="H147" s="23" t="s">
        <v>466</v>
      </c>
      <c r="I147" s="29" t="s">
        <v>64</v>
      </c>
      <c r="J147" s="33" t="s">
        <v>66</v>
      </c>
      <c r="K147" s="33" t="s">
        <v>66</v>
      </c>
      <c r="L147" s="33" t="s">
        <v>66</v>
      </c>
      <c r="M147" s="33" t="s">
        <v>66</v>
      </c>
      <c r="N147" s="30" t="s">
        <v>470</v>
      </c>
      <c r="O147" s="30">
        <v>2019</v>
      </c>
      <c r="P147" s="26">
        <v>358491.09</v>
      </c>
      <c r="Q147" s="26">
        <v>272404</v>
      </c>
      <c r="R147" s="26">
        <v>24035.65</v>
      </c>
      <c r="S147" s="23">
        <f t="shared" si="31"/>
        <v>62051.440000000024</v>
      </c>
    </row>
    <row r="148" spans="2:19" ht="84.75" hidden="1" customHeight="1" x14ac:dyDescent="0.25">
      <c r="B148" s="20" t="s">
        <v>474</v>
      </c>
      <c r="C148" s="20"/>
      <c r="D148" s="20" t="s">
        <v>475</v>
      </c>
      <c r="E148" s="20"/>
      <c r="F148" s="20"/>
      <c r="G148" s="20" t="s">
        <v>476</v>
      </c>
      <c r="H148" s="20"/>
      <c r="I148" s="20"/>
      <c r="J148" s="20"/>
      <c r="K148" s="20"/>
      <c r="L148" s="20"/>
      <c r="M148" s="20"/>
      <c r="N148" s="20"/>
      <c r="O148" s="20"/>
      <c r="P148" s="42"/>
      <c r="Q148" s="42"/>
      <c r="R148" s="42"/>
      <c r="S148" s="42"/>
    </row>
    <row r="149" spans="2:19" ht="112.5" hidden="1" customHeight="1" x14ac:dyDescent="0.25">
      <c r="B149" s="21" t="s">
        <v>477</v>
      </c>
      <c r="C149" s="21"/>
      <c r="D149" s="21" t="s">
        <v>478</v>
      </c>
      <c r="E149" s="21"/>
      <c r="F149" s="21"/>
      <c r="G149" s="21"/>
      <c r="H149" s="21"/>
      <c r="I149" s="21"/>
      <c r="J149" s="21"/>
      <c r="K149" s="21"/>
      <c r="L149" s="21"/>
      <c r="M149" s="21"/>
      <c r="N149" s="21"/>
      <c r="O149" s="21"/>
      <c r="P149" s="263">
        <f>P150+P151</f>
        <v>1666630.9</v>
      </c>
      <c r="Q149" s="263">
        <f t="shared" ref="Q149:S149" si="32">Q150+Q151</f>
        <v>1404711</v>
      </c>
      <c r="R149" s="263">
        <f t="shared" si="32"/>
        <v>0</v>
      </c>
      <c r="S149" s="263">
        <f t="shared" si="32"/>
        <v>261919.89999999991</v>
      </c>
    </row>
    <row r="150" spans="2:19" ht="163.5" hidden="1" customHeight="1" x14ac:dyDescent="0.25">
      <c r="B150" s="29" t="s">
        <v>479</v>
      </c>
      <c r="C150" s="29" t="s">
        <v>480</v>
      </c>
      <c r="D150" s="23" t="s">
        <v>481</v>
      </c>
      <c r="E150" s="23" t="s">
        <v>60</v>
      </c>
      <c r="F150" s="23" t="s">
        <v>459</v>
      </c>
      <c r="G150" s="23" t="s">
        <v>62</v>
      </c>
      <c r="H150" s="23" t="s">
        <v>482</v>
      </c>
      <c r="I150" s="29" t="s">
        <v>64</v>
      </c>
      <c r="J150" s="29" t="s">
        <v>65</v>
      </c>
      <c r="K150" s="33" t="s">
        <v>66</v>
      </c>
      <c r="L150" s="33" t="s">
        <v>66</v>
      </c>
      <c r="M150" s="33" t="s">
        <v>66</v>
      </c>
      <c r="N150" s="30" t="s">
        <v>470</v>
      </c>
      <c r="O150" s="30">
        <v>2020</v>
      </c>
      <c r="P150" s="26">
        <v>320628</v>
      </c>
      <c r="Q150" s="26">
        <v>272533</v>
      </c>
      <c r="R150" s="26">
        <v>0</v>
      </c>
      <c r="S150" s="23">
        <f t="shared" ref="S150:S151" si="33">P150-Q150-R150</f>
        <v>48095</v>
      </c>
    </row>
    <row r="151" spans="2:19" ht="89.25" hidden="1" customHeight="1" x14ac:dyDescent="0.25">
      <c r="B151" s="29" t="s">
        <v>483</v>
      </c>
      <c r="C151" s="29" t="s">
        <v>484</v>
      </c>
      <c r="D151" s="23" t="s">
        <v>485</v>
      </c>
      <c r="E151" s="23" t="s">
        <v>102</v>
      </c>
      <c r="F151" s="23" t="s">
        <v>486</v>
      </c>
      <c r="G151" s="23" t="s">
        <v>103</v>
      </c>
      <c r="H151" s="23" t="s">
        <v>482</v>
      </c>
      <c r="I151" s="29" t="s">
        <v>86</v>
      </c>
      <c r="J151" s="29" t="s">
        <v>30</v>
      </c>
      <c r="K151" s="33" t="s">
        <v>66</v>
      </c>
      <c r="L151" s="33" t="s">
        <v>66</v>
      </c>
      <c r="M151" s="33" t="s">
        <v>66</v>
      </c>
      <c r="N151" s="30" t="s">
        <v>110</v>
      </c>
      <c r="O151" s="30">
        <v>2020</v>
      </c>
      <c r="P151" s="26">
        <v>1346002.9</v>
      </c>
      <c r="Q151" s="26">
        <v>1132178</v>
      </c>
      <c r="R151" s="26">
        <v>0</v>
      </c>
      <c r="S151" s="23">
        <f t="shared" si="33"/>
        <v>213824.89999999991</v>
      </c>
    </row>
    <row r="152" spans="2:19" ht="150.75" hidden="1" customHeight="1" x14ac:dyDescent="0.25">
      <c r="B152" s="16" t="s">
        <v>487</v>
      </c>
      <c r="C152" s="17"/>
      <c r="D152" s="18" t="s">
        <v>488</v>
      </c>
      <c r="E152" s="17"/>
      <c r="F152" s="16"/>
      <c r="G152" s="16"/>
      <c r="H152" s="17"/>
      <c r="I152" s="18"/>
      <c r="J152" s="17"/>
      <c r="K152" s="17"/>
      <c r="L152" s="16"/>
      <c r="M152" s="16"/>
      <c r="N152" s="16"/>
      <c r="O152" s="16"/>
      <c r="P152" s="74"/>
      <c r="Q152" s="74"/>
      <c r="R152" s="45"/>
      <c r="S152" s="45"/>
    </row>
    <row r="153" spans="2:19" ht="156" hidden="1" customHeight="1" x14ac:dyDescent="0.25">
      <c r="B153" s="20" t="s">
        <v>489</v>
      </c>
      <c r="C153" s="20"/>
      <c r="D153" s="20" t="s">
        <v>490</v>
      </c>
      <c r="E153" s="20"/>
      <c r="F153" s="20"/>
      <c r="G153" s="20"/>
      <c r="H153" s="20"/>
      <c r="I153" s="20"/>
      <c r="J153" s="20"/>
      <c r="K153" s="20"/>
      <c r="L153" s="20"/>
      <c r="M153" s="20"/>
      <c r="N153" s="20"/>
      <c r="O153" s="20"/>
      <c r="P153" s="42"/>
      <c r="Q153" s="42"/>
      <c r="R153" s="42"/>
      <c r="S153" s="42"/>
    </row>
    <row r="154" spans="2:19" ht="98.25" hidden="1" customHeight="1" x14ac:dyDescent="0.25">
      <c r="B154" s="21" t="s">
        <v>491</v>
      </c>
      <c r="C154" s="21"/>
      <c r="D154" s="21" t="s">
        <v>492</v>
      </c>
      <c r="E154" s="21"/>
      <c r="F154" s="21"/>
      <c r="G154" s="21"/>
      <c r="H154" s="21"/>
      <c r="I154" s="21"/>
      <c r="J154" s="21"/>
      <c r="K154" s="21"/>
      <c r="L154" s="21"/>
      <c r="M154" s="21"/>
      <c r="N154" s="21"/>
      <c r="O154" s="21"/>
      <c r="P154" s="278">
        <f>P155+P156+P157+P158+P159+P160+P161+P162+P163</f>
        <v>1281665.81</v>
      </c>
      <c r="Q154" s="278">
        <f t="shared" ref="Q154:S154" si="34">Q155+Q156+Q157+Q158+Q159+Q160+Q161+Q162+Q163</f>
        <v>1088528.92</v>
      </c>
      <c r="R154" s="278">
        <f t="shared" si="34"/>
        <v>92991.19</v>
      </c>
      <c r="S154" s="278">
        <f t="shared" si="34"/>
        <v>100145.70000000003</v>
      </c>
    </row>
    <row r="155" spans="2:19" ht="89.25" hidden="1" customHeight="1" x14ac:dyDescent="0.25">
      <c r="B155" s="29" t="s">
        <v>493</v>
      </c>
      <c r="C155" s="29" t="s">
        <v>494</v>
      </c>
      <c r="D155" s="29" t="s">
        <v>495</v>
      </c>
      <c r="E155" s="29" t="s">
        <v>496</v>
      </c>
      <c r="F155" s="29" t="s">
        <v>497</v>
      </c>
      <c r="G155" s="29" t="s">
        <v>62</v>
      </c>
      <c r="H155" s="29" t="s">
        <v>498</v>
      </c>
      <c r="I155" s="29" t="s">
        <v>64</v>
      </c>
      <c r="J155" s="33" t="s">
        <v>66</v>
      </c>
      <c r="K155" s="33" t="s">
        <v>66</v>
      </c>
      <c r="L155" s="33" t="s">
        <v>66</v>
      </c>
      <c r="M155" s="33" t="s">
        <v>66</v>
      </c>
      <c r="N155" s="30" t="s">
        <v>420</v>
      </c>
      <c r="O155" s="30">
        <v>2019</v>
      </c>
      <c r="P155" s="26">
        <v>244033.66</v>
      </c>
      <c r="Q155" s="26">
        <v>207428.61</v>
      </c>
      <c r="R155" s="26">
        <v>18302.52</v>
      </c>
      <c r="S155" s="23">
        <f t="shared" ref="S155:S163" si="35">P155-Q155-R155</f>
        <v>18302.530000000017</v>
      </c>
    </row>
    <row r="156" spans="2:19" ht="130.5" hidden="1" customHeight="1" x14ac:dyDescent="0.25">
      <c r="B156" s="29" t="s">
        <v>499</v>
      </c>
      <c r="C156" s="29" t="s">
        <v>500</v>
      </c>
      <c r="D156" s="29" t="s">
        <v>501</v>
      </c>
      <c r="E156" s="29" t="s">
        <v>502</v>
      </c>
      <c r="F156" s="29" t="s">
        <v>497</v>
      </c>
      <c r="G156" s="29" t="s">
        <v>162</v>
      </c>
      <c r="H156" s="29" t="s">
        <v>498</v>
      </c>
      <c r="I156" s="29" t="s">
        <v>64</v>
      </c>
      <c r="J156" s="33" t="s">
        <v>66</v>
      </c>
      <c r="K156" s="33" t="s">
        <v>66</v>
      </c>
      <c r="L156" s="33" t="s">
        <v>66</v>
      </c>
      <c r="M156" s="33" t="s">
        <v>66</v>
      </c>
      <c r="N156" s="30" t="s">
        <v>98</v>
      </c>
      <c r="O156" s="30">
        <v>2020</v>
      </c>
      <c r="P156" s="26">
        <v>106554.33</v>
      </c>
      <c r="Q156" s="26">
        <v>90571.18</v>
      </c>
      <c r="R156" s="26">
        <v>7409.66</v>
      </c>
      <c r="S156" s="23">
        <f t="shared" si="35"/>
        <v>8573.4900000000089</v>
      </c>
    </row>
    <row r="157" spans="2:19" ht="151.5" hidden="1" customHeight="1" x14ac:dyDescent="0.25">
      <c r="B157" s="29" t="s">
        <v>503</v>
      </c>
      <c r="C157" s="29" t="s">
        <v>504</v>
      </c>
      <c r="D157" s="29" t="s">
        <v>505</v>
      </c>
      <c r="E157" s="29" t="s">
        <v>506</v>
      </c>
      <c r="F157" s="29" t="s">
        <v>497</v>
      </c>
      <c r="G157" s="29" t="s">
        <v>162</v>
      </c>
      <c r="H157" s="29" t="s">
        <v>498</v>
      </c>
      <c r="I157" s="29" t="s">
        <v>64</v>
      </c>
      <c r="J157" s="33" t="s">
        <v>66</v>
      </c>
      <c r="K157" s="33" t="s">
        <v>66</v>
      </c>
      <c r="L157" s="33" t="s">
        <v>66</v>
      </c>
      <c r="M157" s="33" t="s">
        <v>66</v>
      </c>
      <c r="N157" s="30" t="s">
        <v>182</v>
      </c>
      <c r="O157" s="30">
        <v>2019</v>
      </c>
      <c r="P157" s="26">
        <v>86991.45</v>
      </c>
      <c r="Q157" s="26">
        <v>73942.73</v>
      </c>
      <c r="R157" s="26">
        <v>6524.36</v>
      </c>
      <c r="S157" s="26">
        <f t="shared" si="35"/>
        <v>6524.3600000000015</v>
      </c>
    </row>
    <row r="158" spans="2:19" ht="129" hidden="1" customHeight="1" x14ac:dyDescent="0.25">
      <c r="B158" s="29" t="s">
        <v>507</v>
      </c>
      <c r="C158" s="29" t="s">
        <v>508</v>
      </c>
      <c r="D158" s="29" t="s">
        <v>509</v>
      </c>
      <c r="E158" s="29" t="s">
        <v>510</v>
      </c>
      <c r="F158" s="29" t="s">
        <v>497</v>
      </c>
      <c r="G158" s="29" t="s">
        <v>287</v>
      </c>
      <c r="H158" s="29" t="s">
        <v>498</v>
      </c>
      <c r="I158" s="29" t="s">
        <v>64</v>
      </c>
      <c r="J158" s="33" t="s">
        <v>66</v>
      </c>
      <c r="K158" s="33" t="s">
        <v>66</v>
      </c>
      <c r="L158" s="33" t="s">
        <v>66</v>
      </c>
      <c r="M158" s="33" t="s">
        <v>66</v>
      </c>
      <c r="N158" s="30" t="s">
        <v>420</v>
      </c>
      <c r="O158" s="30">
        <v>2020</v>
      </c>
      <c r="P158" s="47">
        <v>180196.81</v>
      </c>
      <c r="Q158" s="47">
        <v>153167.29</v>
      </c>
      <c r="R158" s="26">
        <v>13514.75</v>
      </c>
      <c r="S158" s="23">
        <f t="shared" si="35"/>
        <v>13514.76999999999</v>
      </c>
    </row>
    <row r="159" spans="2:19" ht="159" hidden="1" customHeight="1" x14ac:dyDescent="0.25">
      <c r="B159" s="29" t="s">
        <v>511</v>
      </c>
      <c r="C159" s="29" t="s">
        <v>512</v>
      </c>
      <c r="D159" s="29" t="s">
        <v>513</v>
      </c>
      <c r="E159" s="29" t="s">
        <v>514</v>
      </c>
      <c r="F159" s="29" t="s">
        <v>497</v>
      </c>
      <c r="G159" s="29" t="s">
        <v>153</v>
      </c>
      <c r="H159" s="29" t="s">
        <v>498</v>
      </c>
      <c r="I159" s="29" t="s">
        <v>64</v>
      </c>
      <c r="J159" s="33" t="s">
        <v>66</v>
      </c>
      <c r="K159" s="33" t="s">
        <v>66</v>
      </c>
      <c r="L159" s="33" t="s">
        <v>66</v>
      </c>
      <c r="M159" s="33" t="s">
        <v>66</v>
      </c>
      <c r="N159" s="30" t="s">
        <v>340</v>
      </c>
      <c r="O159" s="30">
        <v>2021</v>
      </c>
      <c r="P159" s="26">
        <v>294117.65000000002</v>
      </c>
      <c r="Q159" s="47">
        <v>250000</v>
      </c>
      <c r="R159" s="26">
        <v>22058.82</v>
      </c>
      <c r="S159" s="23">
        <f t="shared" si="35"/>
        <v>22058.830000000024</v>
      </c>
    </row>
    <row r="160" spans="2:19" ht="79.5" hidden="1" customHeight="1" x14ac:dyDescent="0.25">
      <c r="B160" s="29" t="s">
        <v>515</v>
      </c>
      <c r="C160" s="29" t="s">
        <v>516</v>
      </c>
      <c r="D160" s="29" t="s">
        <v>517</v>
      </c>
      <c r="E160" s="29" t="s">
        <v>518</v>
      </c>
      <c r="F160" s="29" t="s">
        <v>497</v>
      </c>
      <c r="G160" s="29" t="s">
        <v>153</v>
      </c>
      <c r="H160" s="29" t="s">
        <v>498</v>
      </c>
      <c r="I160" s="29" t="s">
        <v>64</v>
      </c>
      <c r="J160" s="33" t="s">
        <v>66</v>
      </c>
      <c r="K160" s="33" t="s">
        <v>66</v>
      </c>
      <c r="L160" s="33" t="s">
        <v>66</v>
      </c>
      <c r="M160" s="33" t="s">
        <v>66</v>
      </c>
      <c r="N160" s="30" t="s">
        <v>98</v>
      </c>
      <c r="O160" s="30">
        <v>2019</v>
      </c>
      <c r="P160" s="47">
        <v>34024.199999999997</v>
      </c>
      <c r="Q160" s="47">
        <v>28033.57</v>
      </c>
      <c r="R160" s="26">
        <v>0</v>
      </c>
      <c r="S160" s="26">
        <f t="shared" si="35"/>
        <v>5990.6299999999974</v>
      </c>
    </row>
    <row r="161" spans="2:24" ht="66" hidden="1" customHeight="1" x14ac:dyDescent="0.25">
      <c r="B161" s="29" t="s">
        <v>519</v>
      </c>
      <c r="C161" s="29" t="s">
        <v>520</v>
      </c>
      <c r="D161" s="29" t="s">
        <v>521</v>
      </c>
      <c r="E161" s="29" t="s">
        <v>522</v>
      </c>
      <c r="F161" s="29" t="s">
        <v>497</v>
      </c>
      <c r="G161" s="29" t="s">
        <v>523</v>
      </c>
      <c r="H161" s="29" t="s">
        <v>498</v>
      </c>
      <c r="I161" s="29" t="s">
        <v>64</v>
      </c>
      <c r="J161" s="33" t="s">
        <v>66</v>
      </c>
      <c r="K161" s="33" t="s">
        <v>66</v>
      </c>
      <c r="L161" s="33" t="s">
        <v>66</v>
      </c>
      <c r="M161" s="33" t="s">
        <v>66</v>
      </c>
      <c r="N161" s="30" t="s">
        <v>420</v>
      </c>
      <c r="O161" s="30">
        <v>2020</v>
      </c>
      <c r="P161" s="47">
        <v>153580</v>
      </c>
      <c r="Q161" s="47">
        <v>130543</v>
      </c>
      <c r="R161" s="47">
        <v>11518.5</v>
      </c>
      <c r="S161" s="23">
        <f t="shared" si="35"/>
        <v>11518.5</v>
      </c>
    </row>
    <row r="162" spans="2:24" ht="102" hidden="1" customHeight="1" x14ac:dyDescent="0.25">
      <c r="B162" s="29" t="s">
        <v>524</v>
      </c>
      <c r="C162" s="29" t="s">
        <v>525</v>
      </c>
      <c r="D162" s="29" t="s">
        <v>526</v>
      </c>
      <c r="E162" s="29" t="s">
        <v>527</v>
      </c>
      <c r="F162" s="29" t="s">
        <v>497</v>
      </c>
      <c r="G162" s="29" t="s">
        <v>528</v>
      </c>
      <c r="H162" s="29" t="s">
        <v>498</v>
      </c>
      <c r="I162" s="29" t="s">
        <v>64</v>
      </c>
      <c r="J162" s="33" t="s">
        <v>66</v>
      </c>
      <c r="K162" s="33" t="s">
        <v>66</v>
      </c>
      <c r="L162" s="33" t="s">
        <v>66</v>
      </c>
      <c r="M162" s="33" t="s">
        <v>66</v>
      </c>
      <c r="N162" s="30" t="s">
        <v>98</v>
      </c>
      <c r="O162" s="30">
        <v>2020</v>
      </c>
      <c r="P162" s="47">
        <v>163307.10999999999</v>
      </c>
      <c r="Q162" s="26">
        <v>138811.04</v>
      </c>
      <c r="R162" s="47">
        <v>12248.03</v>
      </c>
      <c r="S162" s="23">
        <f t="shared" si="35"/>
        <v>12248.039999999977</v>
      </c>
    </row>
    <row r="163" spans="2:24" ht="153" hidden="1" customHeight="1" x14ac:dyDescent="0.25">
      <c r="B163" s="29" t="s">
        <v>1212</v>
      </c>
      <c r="C163" s="29" t="s">
        <v>1213</v>
      </c>
      <c r="D163" s="29" t="s">
        <v>1214</v>
      </c>
      <c r="E163" s="29" t="s">
        <v>1215</v>
      </c>
      <c r="F163" s="29" t="s">
        <v>497</v>
      </c>
      <c r="G163" s="29" t="s">
        <v>153</v>
      </c>
      <c r="H163" s="29" t="s">
        <v>498</v>
      </c>
      <c r="I163" s="29" t="s">
        <v>64</v>
      </c>
      <c r="J163" s="33" t="s">
        <v>66</v>
      </c>
      <c r="K163" s="33" t="s">
        <v>66</v>
      </c>
      <c r="L163" s="33" t="s">
        <v>66</v>
      </c>
      <c r="M163" s="33" t="s">
        <v>66</v>
      </c>
      <c r="N163" s="30">
        <v>2020</v>
      </c>
      <c r="O163" s="30">
        <v>2021</v>
      </c>
      <c r="P163" s="47">
        <v>18860.599999999999</v>
      </c>
      <c r="Q163" s="26">
        <v>16031.5</v>
      </c>
      <c r="R163" s="47">
        <v>1414.55</v>
      </c>
      <c r="S163" s="26">
        <f t="shared" si="35"/>
        <v>1414.5499999999986</v>
      </c>
    </row>
    <row r="164" spans="2:24" s="27" customFormat="1" ht="81" hidden="1" customHeight="1" x14ac:dyDescent="0.25">
      <c r="B164" s="21" t="s">
        <v>529</v>
      </c>
      <c r="C164" s="21"/>
      <c r="D164" s="21" t="s">
        <v>530</v>
      </c>
      <c r="E164" s="21"/>
      <c r="F164" s="21"/>
      <c r="G164" s="21"/>
      <c r="H164" s="21"/>
      <c r="I164" s="21"/>
      <c r="J164" s="21"/>
      <c r="K164" s="21"/>
      <c r="L164" s="21"/>
      <c r="M164" s="21"/>
      <c r="N164" s="21"/>
      <c r="O164" s="21"/>
      <c r="P164" s="278">
        <f>P165+P166+P167+P168+P169+P170</f>
        <v>41354.43</v>
      </c>
      <c r="Q164" s="278">
        <f t="shared" ref="Q164:S164" si="36">Q165+Q166+Q167+Q168+Q169+Q170</f>
        <v>35150.640000000007</v>
      </c>
      <c r="R164" s="278">
        <f t="shared" si="36"/>
        <v>3100.69</v>
      </c>
      <c r="S164" s="278">
        <f t="shared" si="36"/>
        <v>3103.1</v>
      </c>
      <c r="T164" s="6"/>
      <c r="U164" s="6"/>
      <c r="V164" s="6"/>
      <c r="W164" s="6"/>
      <c r="X164" s="6"/>
    </row>
    <row r="165" spans="2:24" ht="168" hidden="1" customHeight="1" x14ac:dyDescent="0.25">
      <c r="B165" s="29" t="s">
        <v>531</v>
      </c>
      <c r="C165" s="29" t="s">
        <v>532</v>
      </c>
      <c r="D165" s="26" t="s">
        <v>533</v>
      </c>
      <c r="E165" s="26" t="s">
        <v>60</v>
      </c>
      <c r="F165" s="26" t="s">
        <v>497</v>
      </c>
      <c r="G165" s="26" t="s">
        <v>62</v>
      </c>
      <c r="H165" s="26" t="s">
        <v>534</v>
      </c>
      <c r="I165" s="29" t="s">
        <v>64</v>
      </c>
      <c r="J165" s="33" t="s">
        <v>66</v>
      </c>
      <c r="K165" s="33" t="s">
        <v>66</v>
      </c>
      <c r="L165" s="33" t="s">
        <v>66</v>
      </c>
      <c r="M165" s="33" t="s">
        <v>66</v>
      </c>
      <c r="N165" s="30" t="s">
        <v>69</v>
      </c>
      <c r="O165" s="30">
        <v>2022</v>
      </c>
      <c r="P165" s="26">
        <v>13180</v>
      </c>
      <c r="Q165" s="26">
        <v>11202</v>
      </c>
      <c r="R165" s="26">
        <v>988</v>
      </c>
      <c r="S165" s="23">
        <f t="shared" ref="S165:S170" si="37">P165-Q165-R165</f>
        <v>990</v>
      </c>
    </row>
    <row r="166" spans="2:24" ht="90.75" hidden="1" customHeight="1" x14ac:dyDescent="0.25">
      <c r="B166" s="29" t="s">
        <v>535</v>
      </c>
      <c r="C166" s="29" t="s">
        <v>536</v>
      </c>
      <c r="D166" s="23" t="s">
        <v>537</v>
      </c>
      <c r="E166" s="23" t="s">
        <v>538</v>
      </c>
      <c r="F166" s="23" t="s">
        <v>497</v>
      </c>
      <c r="G166" s="23" t="s">
        <v>162</v>
      </c>
      <c r="H166" s="23" t="s">
        <v>534</v>
      </c>
      <c r="I166" s="29" t="s">
        <v>64</v>
      </c>
      <c r="J166" s="33" t="s">
        <v>66</v>
      </c>
      <c r="K166" s="33" t="s">
        <v>66</v>
      </c>
      <c r="L166" s="33" t="s">
        <v>66</v>
      </c>
      <c r="M166" s="33" t="s">
        <v>66</v>
      </c>
      <c r="N166" s="30" t="s">
        <v>200</v>
      </c>
      <c r="O166" s="30">
        <v>2020</v>
      </c>
      <c r="P166" s="26">
        <v>6134.9299999999994</v>
      </c>
      <c r="Q166" s="26">
        <v>5214.6900000000005</v>
      </c>
      <c r="R166" s="26">
        <v>460.12</v>
      </c>
      <c r="S166" s="23">
        <f t="shared" si="37"/>
        <v>460.11999999999887</v>
      </c>
    </row>
    <row r="167" spans="2:24" s="27" customFormat="1" ht="82.5" hidden="1" customHeight="1" x14ac:dyDescent="0.25">
      <c r="B167" s="29" t="s">
        <v>539</v>
      </c>
      <c r="C167" s="29" t="s">
        <v>540</v>
      </c>
      <c r="D167" s="26" t="s">
        <v>541</v>
      </c>
      <c r="E167" s="26" t="s">
        <v>542</v>
      </c>
      <c r="F167" s="26" t="s">
        <v>497</v>
      </c>
      <c r="G167" s="26" t="s">
        <v>287</v>
      </c>
      <c r="H167" s="26" t="s">
        <v>534</v>
      </c>
      <c r="I167" s="29" t="s">
        <v>64</v>
      </c>
      <c r="J167" s="33" t="s">
        <v>66</v>
      </c>
      <c r="K167" s="33" t="s">
        <v>66</v>
      </c>
      <c r="L167" s="33" t="s">
        <v>66</v>
      </c>
      <c r="M167" s="33" t="s">
        <v>66</v>
      </c>
      <c r="N167" s="30" t="s">
        <v>69</v>
      </c>
      <c r="O167" s="30">
        <v>2022</v>
      </c>
      <c r="P167" s="26">
        <v>7725.47</v>
      </c>
      <c r="Q167" s="26">
        <v>6566.65</v>
      </c>
      <c r="R167" s="26">
        <v>579.4</v>
      </c>
      <c r="S167" s="23">
        <f t="shared" si="37"/>
        <v>579.42000000000064</v>
      </c>
      <c r="T167" s="6"/>
      <c r="U167" s="6"/>
      <c r="V167" s="6"/>
      <c r="W167" s="6"/>
      <c r="X167" s="6"/>
    </row>
    <row r="168" spans="2:24" ht="79.5" hidden="1" customHeight="1" x14ac:dyDescent="0.25">
      <c r="B168" s="29" t="s">
        <v>543</v>
      </c>
      <c r="C168" s="29" t="s">
        <v>544</v>
      </c>
      <c r="D168" s="23" t="s">
        <v>545</v>
      </c>
      <c r="E168" s="23" t="s">
        <v>514</v>
      </c>
      <c r="F168" s="23" t="s">
        <v>497</v>
      </c>
      <c r="G168" s="23" t="s">
        <v>153</v>
      </c>
      <c r="H168" s="23" t="s">
        <v>534</v>
      </c>
      <c r="I168" s="29" t="s">
        <v>64</v>
      </c>
      <c r="J168" s="33" t="s">
        <v>66</v>
      </c>
      <c r="K168" s="33" t="s">
        <v>66</v>
      </c>
      <c r="L168" s="33" t="s">
        <v>66</v>
      </c>
      <c r="M168" s="33" t="s">
        <v>66</v>
      </c>
      <c r="N168" s="30" t="s">
        <v>69</v>
      </c>
      <c r="O168" s="30">
        <v>2022</v>
      </c>
      <c r="P168" s="47">
        <v>5453.27</v>
      </c>
      <c r="Q168" s="26">
        <v>4635.28</v>
      </c>
      <c r="R168" s="26">
        <v>408.99</v>
      </c>
      <c r="S168" s="23">
        <f t="shared" si="37"/>
        <v>409.00000000000068</v>
      </c>
    </row>
    <row r="169" spans="2:24" ht="141.75" hidden="1" customHeight="1" x14ac:dyDescent="0.25">
      <c r="B169" s="29" t="s">
        <v>546</v>
      </c>
      <c r="C169" s="29" t="s">
        <v>547</v>
      </c>
      <c r="D169" s="23" t="s">
        <v>548</v>
      </c>
      <c r="E169" s="23" t="s">
        <v>527</v>
      </c>
      <c r="F169" s="23" t="s">
        <v>497</v>
      </c>
      <c r="G169" s="23" t="s">
        <v>549</v>
      </c>
      <c r="H169" s="23" t="s">
        <v>534</v>
      </c>
      <c r="I169" s="29" t="s">
        <v>64</v>
      </c>
      <c r="J169" s="33" t="s">
        <v>66</v>
      </c>
      <c r="K169" s="33" t="s">
        <v>66</v>
      </c>
      <c r="L169" s="33" t="s">
        <v>66</v>
      </c>
      <c r="M169" s="33" t="s">
        <v>66</v>
      </c>
      <c r="N169" s="30" t="s">
        <v>188</v>
      </c>
      <c r="O169" s="30">
        <v>2021</v>
      </c>
      <c r="P169" s="26">
        <v>2271.7600000000002</v>
      </c>
      <c r="Q169" s="26">
        <v>1931.38</v>
      </c>
      <c r="R169" s="26">
        <v>170</v>
      </c>
      <c r="S169" s="23">
        <f t="shared" si="37"/>
        <v>170.38000000000011</v>
      </c>
    </row>
    <row r="170" spans="2:24" ht="165" hidden="1" customHeight="1" x14ac:dyDescent="0.25">
      <c r="B170" s="29" t="s">
        <v>550</v>
      </c>
      <c r="C170" s="29" t="s">
        <v>551</v>
      </c>
      <c r="D170" s="23" t="s">
        <v>552</v>
      </c>
      <c r="E170" s="23" t="s">
        <v>553</v>
      </c>
      <c r="F170" s="23" t="s">
        <v>497</v>
      </c>
      <c r="G170" s="23" t="s">
        <v>554</v>
      </c>
      <c r="H170" s="23" t="s">
        <v>534</v>
      </c>
      <c r="I170" s="29" t="s">
        <v>64</v>
      </c>
      <c r="J170" s="33" t="s">
        <v>66</v>
      </c>
      <c r="K170" s="33" t="s">
        <v>66</v>
      </c>
      <c r="L170" s="33" t="s">
        <v>66</v>
      </c>
      <c r="M170" s="33" t="s">
        <v>66</v>
      </c>
      <c r="N170" s="30" t="s">
        <v>114</v>
      </c>
      <c r="O170" s="30">
        <v>2022</v>
      </c>
      <c r="P170" s="26">
        <v>6589</v>
      </c>
      <c r="Q170" s="47">
        <v>5600.64</v>
      </c>
      <c r="R170" s="47">
        <v>494.18</v>
      </c>
      <c r="S170" s="23">
        <f t="shared" si="37"/>
        <v>494.17999999999967</v>
      </c>
    </row>
    <row r="171" spans="2:24" ht="150.75" hidden="1" customHeight="1" x14ac:dyDescent="0.25">
      <c r="B171" s="20" t="s">
        <v>555</v>
      </c>
      <c r="C171" s="20"/>
      <c r="D171" s="20" t="s">
        <v>556</v>
      </c>
      <c r="E171" s="20"/>
      <c r="F171" s="20"/>
      <c r="G171" s="20"/>
      <c r="H171" s="20"/>
      <c r="I171" s="20"/>
      <c r="J171" s="20"/>
      <c r="K171" s="20"/>
      <c r="L171" s="20"/>
      <c r="M171" s="20"/>
      <c r="N171" s="20"/>
      <c r="O171" s="20"/>
      <c r="P171" s="42"/>
      <c r="Q171" s="42"/>
      <c r="R171" s="42"/>
      <c r="S171" s="42"/>
    </row>
    <row r="172" spans="2:24" ht="80.25" hidden="1" customHeight="1" x14ac:dyDescent="0.25">
      <c r="B172" s="21" t="s">
        <v>557</v>
      </c>
      <c r="C172" s="21"/>
      <c r="D172" s="21" t="s">
        <v>558</v>
      </c>
      <c r="E172" s="21"/>
      <c r="F172" s="21"/>
      <c r="G172" s="21"/>
      <c r="H172" s="21"/>
      <c r="I172" s="21"/>
      <c r="J172" s="21"/>
      <c r="K172" s="21"/>
      <c r="L172" s="21"/>
      <c r="M172" s="21"/>
      <c r="N172" s="21"/>
      <c r="O172" s="21"/>
      <c r="P172" s="263">
        <f>SUM(P173:P179)</f>
        <v>988798.29000000015</v>
      </c>
      <c r="Q172" s="263">
        <f t="shared" ref="Q172:S172" si="38">SUM(Q173:Q179)</f>
        <v>840477.93</v>
      </c>
      <c r="R172" s="263">
        <f t="shared" si="38"/>
        <v>74143.92</v>
      </c>
      <c r="S172" s="263">
        <f t="shared" si="38"/>
        <v>74176.440000000031</v>
      </c>
    </row>
    <row r="173" spans="2:24" ht="101.25" hidden="1" customHeight="1" x14ac:dyDescent="0.25">
      <c r="B173" s="29" t="s">
        <v>559</v>
      </c>
      <c r="C173" s="29" t="s">
        <v>560</v>
      </c>
      <c r="D173" s="26" t="s">
        <v>561</v>
      </c>
      <c r="E173" s="26" t="s">
        <v>562</v>
      </c>
      <c r="F173" s="26" t="s">
        <v>563</v>
      </c>
      <c r="G173" s="26" t="s">
        <v>62</v>
      </c>
      <c r="H173" s="26" t="s">
        <v>564</v>
      </c>
      <c r="I173" s="29" t="s">
        <v>64</v>
      </c>
      <c r="J173" s="33" t="s">
        <v>66</v>
      </c>
      <c r="K173" s="33" t="s">
        <v>66</v>
      </c>
      <c r="L173" s="33" t="s">
        <v>66</v>
      </c>
      <c r="M173" s="33" t="s">
        <v>66</v>
      </c>
      <c r="N173" s="30" t="s">
        <v>114</v>
      </c>
      <c r="O173" s="30">
        <v>2021</v>
      </c>
      <c r="P173" s="26">
        <v>228408.24</v>
      </c>
      <c r="Q173" s="26">
        <v>194147</v>
      </c>
      <c r="R173" s="26">
        <v>17120.240000000002</v>
      </c>
      <c r="S173" s="23">
        <f t="shared" ref="S173:S179" si="39">P173-Q173-R173</f>
        <v>17140.999999999989</v>
      </c>
    </row>
    <row r="174" spans="2:24" ht="77.25" hidden="1" customHeight="1" x14ac:dyDescent="0.25">
      <c r="B174" s="29" t="s">
        <v>565</v>
      </c>
      <c r="C174" s="29" t="s">
        <v>566</v>
      </c>
      <c r="D174" s="26" t="s">
        <v>567</v>
      </c>
      <c r="E174" s="26" t="s">
        <v>568</v>
      </c>
      <c r="F174" s="26" t="s">
        <v>563</v>
      </c>
      <c r="G174" s="26" t="s">
        <v>287</v>
      </c>
      <c r="H174" s="26" t="s">
        <v>564</v>
      </c>
      <c r="I174" s="29" t="s">
        <v>64</v>
      </c>
      <c r="J174" s="33" t="s">
        <v>66</v>
      </c>
      <c r="K174" s="33" t="s">
        <v>66</v>
      </c>
      <c r="L174" s="33" t="s">
        <v>66</v>
      </c>
      <c r="M174" s="33" t="s">
        <v>66</v>
      </c>
      <c r="N174" s="30" t="s">
        <v>69</v>
      </c>
      <c r="O174" s="30">
        <v>2022</v>
      </c>
      <c r="P174" s="26">
        <v>207636</v>
      </c>
      <c r="Q174" s="26">
        <v>176490</v>
      </c>
      <c r="R174" s="26">
        <v>15573</v>
      </c>
      <c r="S174" s="23">
        <f t="shared" si="39"/>
        <v>15573</v>
      </c>
    </row>
    <row r="175" spans="2:24" ht="123" hidden="1" customHeight="1" x14ac:dyDescent="0.25">
      <c r="B175" s="29" t="s">
        <v>569</v>
      </c>
      <c r="C175" s="29" t="s">
        <v>570</v>
      </c>
      <c r="D175" s="26" t="s">
        <v>571</v>
      </c>
      <c r="E175" s="26" t="s">
        <v>572</v>
      </c>
      <c r="F175" s="26" t="s">
        <v>563</v>
      </c>
      <c r="G175" s="26" t="s">
        <v>153</v>
      </c>
      <c r="H175" s="26" t="s">
        <v>564</v>
      </c>
      <c r="I175" s="29" t="s">
        <v>64</v>
      </c>
      <c r="J175" s="33" t="s">
        <v>66</v>
      </c>
      <c r="K175" s="33" t="s">
        <v>66</v>
      </c>
      <c r="L175" s="33" t="s">
        <v>66</v>
      </c>
      <c r="M175" s="33" t="s">
        <v>66</v>
      </c>
      <c r="N175" s="30" t="s">
        <v>114</v>
      </c>
      <c r="O175" s="30">
        <v>2022</v>
      </c>
      <c r="P175" s="26">
        <v>291706.14</v>
      </c>
      <c r="Q175" s="26">
        <v>247950.21</v>
      </c>
      <c r="R175" s="26">
        <v>21872.09</v>
      </c>
      <c r="S175" s="23">
        <f t="shared" si="39"/>
        <v>21883.840000000022</v>
      </c>
    </row>
    <row r="176" spans="2:24" ht="69.75" hidden="1" customHeight="1" x14ac:dyDescent="0.25">
      <c r="B176" s="29" t="s">
        <v>573</v>
      </c>
      <c r="C176" s="29" t="s">
        <v>574</v>
      </c>
      <c r="D176" s="26" t="s">
        <v>575</v>
      </c>
      <c r="E176" s="26" t="s">
        <v>576</v>
      </c>
      <c r="F176" s="26" t="s">
        <v>563</v>
      </c>
      <c r="G176" s="26" t="s">
        <v>523</v>
      </c>
      <c r="H176" s="26" t="s">
        <v>564</v>
      </c>
      <c r="I176" s="29" t="s">
        <v>64</v>
      </c>
      <c r="J176" s="33" t="s">
        <v>66</v>
      </c>
      <c r="K176" s="33" t="s">
        <v>66</v>
      </c>
      <c r="L176" s="33" t="s">
        <v>66</v>
      </c>
      <c r="M176" s="33" t="s">
        <v>66</v>
      </c>
      <c r="N176" s="30" t="s">
        <v>69</v>
      </c>
      <c r="O176" s="30">
        <v>2021</v>
      </c>
      <c r="P176" s="26">
        <v>140294.17000000001</v>
      </c>
      <c r="Q176" s="26">
        <v>119250.04</v>
      </c>
      <c r="R176" s="26">
        <v>10522.06</v>
      </c>
      <c r="S176" s="23">
        <f t="shared" si="39"/>
        <v>10522.07000000002</v>
      </c>
    </row>
    <row r="177" spans="2:26" ht="78.75" hidden="1" customHeight="1" x14ac:dyDescent="0.25">
      <c r="B177" s="29" t="s">
        <v>577</v>
      </c>
      <c r="C177" s="29" t="s">
        <v>578</v>
      </c>
      <c r="D177" s="26" t="s">
        <v>579</v>
      </c>
      <c r="E177" s="26" t="s">
        <v>580</v>
      </c>
      <c r="F177" s="26" t="s">
        <v>497</v>
      </c>
      <c r="G177" s="26" t="s">
        <v>162</v>
      </c>
      <c r="H177" s="26" t="s">
        <v>564</v>
      </c>
      <c r="I177" s="29" t="s">
        <v>64</v>
      </c>
      <c r="J177" s="33" t="s">
        <v>66</v>
      </c>
      <c r="K177" s="33" t="s">
        <v>66</v>
      </c>
      <c r="L177" s="33" t="s">
        <v>66</v>
      </c>
      <c r="M177" s="33" t="s">
        <v>66</v>
      </c>
      <c r="N177" s="30" t="s">
        <v>69</v>
      </c>
      <c r="O177" s="30">
        <v>2020</v>
      </c>
      <c r="P177" s="26">
        <v>46794.12</v>
      </c>
      <c r="Q177" s="26">
        <v>39775</v>
      </c>
      <c r="R177" s="26">
        <v>3509.56</v>
      </c>
      <c r="S177" s="23">
        <f t="shared" si="39"/>
        <v>3509.5600000000027</v>
      </c>
    </row>
    <row r="178" spans="2:26" ht="91.5" hidden="1" customHeight="1" x14ac:dyDescent="0.25">
      <c r="B178" s="29" t="s">
        <v>581</v>
      </c>
      <c r="C178" s="29" t="s">
        <v>582</v>
      </c>
      <c r="D178" s="26" t="s">
        <v>583</v>
      </c>
      <c r="E178" s="26" t="s">
        <v>584</v>
      </c>
      <c r="F178" s="26" t="s">
        <v>497</v>
      </c>
      <c r="G178" s="26" t="s">
        <v>549</v>
      </c>
      <c r="H178" s="26" t="s">
        <v>564</v>
      </c>
      <c r="I178" s="29" t="s">
        <v>64</v>
      </c>
      <c r="J178" s="33" t="s">
        <v>66</v>
      </c>
      <c r="K178" s="33" t="s">
        <v>66</v>
      </c>
      <c r="L178" s="33" t="s">
        <v>66</v>
      </c>
      <c r="M178" s="33" t="s">
        <v>66</v>
      </c>
      <c r="N178" s="30" t="s">
        <v>200</v>
      </c>
      <c r="O178" s="30">
        <v>2019</v>
      </c>
      <c r="P178" s="26">
        <v>48223.44</v>
      </c>
      <c r="Q178" s="26">
        <v>40989.93</v>
      </c>
      <c r="R178" s="26">
        <v>3616.76</v>
      </c>
      <c r="S178" s="26">
        <f t="shared" si="39"/>
        <v>3616.7500000000018</v>
      </c>
    </row>
    <row r="179" spans="2:26" ht="102.75" hidden="1" customHeight="1" x14ac:dyDescent="0.25">
      <c r="B179" s="29" t="s">
        <v>585</v>
      </c>
      <c r="C179" s="29" t="s">
        <v>586</v>
      </c>
      <c r="D179" s="26" t="s">
        <v>587</v>
      </c>
      <c r="E179" s="26" t="s">
        <v>580</v>
      </c>
      <c r="F179" s="26" t="s">
        <v>497</v>
      </c>
      <c r="G179" s="26" t="s">
        <v>162</v>
      </c>
      <c r="H179" s="26" t="s">
        <v>564</v>
      </c>
      <c r="I179" s="29" t="s">
        <v>64</v>
      </c>
      <c r="J179" s="33" t="s">
        <v>66</v>
      </c>
      <c r="K179" s="33" t="s">
        <v>66</v>
      </c>
      <c r="L179" s="33" t="s">
        <v>66</v>
      </c>
      <c r="M179" s="33" t="s">
        <v>66</v>
      </c>
      <c r="N179" s="30" t="s">
        <v>122</v>
      </c>
      <c r="O179" s="30">
        <v>2022</v>
      </c>
      <c r="P179" s="26">
        <v>25736.18</v>
      </c>
      <c r="Q179" s="26">
        <v>21875.75</v>
      </c>
      <c r="R179" s="26">
        <v>1930.21</v>
      </c>
      <c r="S179" s="23">
        <f t="shared" si="39"/>
        <v>1930.2200000000003</v>
      </c>
    </row>
    <row r="180" spans="2:26" ht="141.75" hidden="1" customHeight="1" x14ac:dyDescent="0.25">
      <c r="B180" s="20" t="s">
        <v>588</v>
      </c>
      <c r="C180" s="20"/>
      <c r="D180" s="20" t="s">
        <v>589</v>
      </c>
      <c r="E180" s="20"/>
      <c r="F180" s="20"/>
      <c r="G180" s="20"/>
      <c r="H180" s="20"/>
      <c r="I180" s="20"/>
      <c r="J180" s="20"/>
      <c r="K180" s="20"/>
      <c r="L180" s="20"/>
      <c r="M180" s="20"/>
      <c r="N180" s="20"/>
      <c r="O180" s="20"/>
      <c r="P180" s="42"/>
      <c r="Q180" s="42"/>
      <c r="R180" s="42"/>
      <c r="S180" s="42"/>
    </row>
    <row r="181" spans="2:26" ht="56.25" hidden="1" customHeight="1" x14ac:dyDescent="0.25">
      <c r="B181" s="21" t="s">
        <v>590</v>
      </c>
      <c r="C181" s="21"/>
      <c r="D181" s="21" t="s">
        <v>591</v>
      </c>
      <c r="E181" s="21"/>
      <c r="F181" s="21"/>
      <c r="G181" s="21"/>
      <c r="H181" s="21"/>
      <c r="I181" s="21"/>
      <c r="J181" s="21"/>
      <c r="K181" s="21"/>
      <c r="L181" s="21"/>
      <c r="M181" s="21"/>
      <c r="N181" s="21"/>
      <c r="O181" s="21"/>
      <c r="P181" s="263">
        <f>SUM(P182:P185)</f>
        <v>1222220.76</v>
      </c>
      <c r="Q181" s="263">
        <f t="shared" ref="Q181:S181" si="40">SUM(Q182:Q185)</f>
        <v>810748</v>
      </c>
      <c r="R181" s="263">
        <f t="shared" si="40"/>
        <v>0</v>
      </c>
      <c r="S181" s="263">
        <f t="shared" si="40"/>
        <v>411472.75999999995</v>
      </c>
    </row>
    <row r="182" spans="2:26" ht="84" hidden="1" customHeight="1" x14ac:dyDescent="0.25">
      <c r="B182" s="29" t="s">
        <v>592</v>
      </c>
      <c r="C182" s="29" t="s">
        <v>593</v>
      </c>
      <c r="D182" s="26" t="s">
        <v>594</v>
      </c>
      <c r="E182" s="26" t="s">
        <v>60</v>
      </c>
      <c r="F182" s="26" t="s">
        <v>595</v>
      </c>
      <c r="G182" s="26" t="s">
        <v>73</v>
      </c>
      <c r="H182" s="26" t="s">
        <v>596</v>
      </c>
      <c r="I182" s="29" t="s">
        <v>64</v>
      </c>
      <c r="J182" s="33" t="s">
        <v>66</v>
      </c>
      <c r="K182" s="33" t="s">
        <v>66</v>
      </c>
      <c r="L182" s="33" t="s">
        <v>66</v>
      </c>
      <c r="M182" s="33" t="s">
        <v>66</v>
      </c>
      <c r="N182" s="30" t="s">
        <v>69</v>
      </c>
      <c r="O182" s="30">
        <v>2020</v>
      </c>
      <c r="P182" s="26">
        <v>99969.63</v>
      </c>
      <c r="Q182" s="26">
        <v>84974.19</v>
      </c>
      <c r="R182" s="26">
        <v>0</v>
      </c>
      <c r="S182" s="23">
        <v>14995.44</v>
      </c>
    </row>
    <row r="183" spans="2:26" ht="131.25" hidden="1" customHeight="1" x14ac:dyDescent="0.25">
      <c r="B183" s="29" t="s">
        <v>597</v>
      </c>
      <c r="C183" s="29" t="s">
        <v>598</v>
      </c>
      <c r="D183" s="26" t="s">
        <v>599</v>
      </c>
      <c r="E183" s="26" t="s">
        <v>600</v>
      </c>
      <c r="F183" s="26" t="s">
        <v>595</v>
      </c>
      <c r="G183" s="26" t="s">
        <v>204</v>
      </c>
      <c r="H183" s="26" t="s">
        <v>596</v>
      </c>
      <c r="I183" s="29" t="s">
        <v>64</v>
      </c>
      <c r="J183" s="33" t="s">
        <v>66</v>
      </c>
      <c r="K183" s="33" t="s">
        <v>66</v>
      </c>
      <c r="L183" s="33" t="s">
        <v>66</v>
      </c>
      <c r="M183" s="33" t="s">
        <v>66</v>
      </c>
      <c r="N183" s="30" t="s">
        <v>200</v>
      </c>
      <c r="O183" s="30">
        <v>2019</v>
      </c>
      <c r="P183" s="26">
        <v>55347.3</v>
      </c>
      <c r="Q183" s="26">
        <v>47045.2</v>
      </c>
      <c r="R183" s="26">
        <v>0</v>
      </c>
      <c r="S183" s="23">
        <f t="shared" ref="S183:S185" si="41">P183-Q183-R183</f>
        <v>8302.1000000000058</v>
      </c>
    </row>
    <row r="184" spans="2:26" ht="79.5" hidden="1" customHeight="1" x14ac:dyDescent="0.25">
      <c r="B184" s="29" t="s">
        <v>601</v>
      </c>
      <c r="C184" s="29" t="s">
        <v>602</v>
      </c>
      <c r="D184" s="26" t="s">
        <v>603</v>
      </c>
      <c r="E184" s="26" t="s">
        <v>604</v>
      </c>
      <c r="F184" s="26" t="s">
        <v>595</v>
      </c>
      <c r="G184" s="26" t="s">
        <v>187</v>
      </c>
      <c r="H184" s="26" t="s">
        <v>596</v>
      </c>
      <c r="I184" s="29" t="s">
        <v>64</v>
      </c>
      <c r="J184" s="33" t="s">
        <v>66</v>
      </c>
      <c r="K184" s="33" t="s">
        <v>66</v>
      </c>
      <c r="L184" s="33" t="s">
        <v>66</v>
      </c>
      <c r="M184" s="33" t="s">
        <v>66</v>
      </c>
      <c r="N184" s="30" t="s">
        <v>79</v>
      </c>
      <c r="O184" s="30">
        <v>2019</v>
      </c>
      <c r="P184" s="26">
        <v>37739.24</v>
      </c>
      <c r="Q184" s="26">
        <v>32078.35</v>
      </c>
      <c r="R184" s="26">
        <v>0</v>
      </c>
      <c r="S184" s="23">
        <f t="shared" si="41"/>
        <v>5660.8899999999994</v>
      </c>
    </row>
    <row r="185" spans="2:26" ht="145.5" hidden="1" customHeight="1" x14ac:dyDescent="0.25">
      <c r="B185" s="29" t="s">
        <v>605</v>
      </c>
      <c r="C185" s="29" t="s">
        <v>606</v>
      </c>
      <c r="D185" s="26" t="s">
        <v>607</v>
      </c>
      <c r="E185" s="26" t="s">
        <v>145</v>
      </c>
      <c r="F185" s="26" t="s">
        <v>595</v>
      </c>
      <c r="G185" s="26" t="s">
        <v>549</v>
      </c>
      <c r="H185" s="26" t="s">
        <v>596</v>
      </c>
      <c r="I185" s="29" t="s">
        <v>64</v>
      </c>
      <c r="J185" s="29" t="s">
        <v>65</v>
      </c>
      <c r="K185" s="33" t="s">
        <v>66</v>
      </c>
      <c r="L185" s="33" t="s">
        <v>66</v>
      </c>
      <c r="M185" s="33" t="s">
        <v>66</v>
      </c>
      <c r="N185" s="30" t="s">
        <v>69</v>
      </c>
      <c r="O185" s="30">
        <v>2020</v>
      </c>
      <c r="P185" s="26">
        <v>1029164.59</v>
      </c>
      <c r="Q185" s="26">
        <v>646650.26</v>
      </c>
      <c r="R185" s="26">
        <v>0</v>
      </c>
      <c r="S185" s="26">
        <f t="shared" si="41"/>
        <v>382514.32999999996</v>
      </c>
    </row>
    <row r="186" spans="2:26" ht="80.25" customHeight="1" x14ac:dyDescent="0.25">
      <c r="B186" s="21" t="s">
        <v>608</v>
      </c>
      <c r="C186" s="21"/>
      <c r="D186" s="21" t="s">
        <v>609</v>
      </c>
      <c r="E186" s="21"/>
      <c r="F186" s="21"/>
      <c r="G186" s="21"/>
      <c r="H186" s="21"/>
      <c r="I186" s="21"/>
      <c r="J186" s="21"/>
      <c r="K186" s="21"/>
      <c r="L186" s="21"/>
      <c r="M186" s="21"/>
      <c r="N186" s="21"/>
      <c r="O186" s="21"/>
      <c r="P186" s="263">
        <f>SUM(P187:P192)</f>
        <v>2565013.8299999996</v>
      </c>
      <c r="Q186" s="263">
        <f>SUM(Q187:Q192)</f>
        <v>2180206.1800000002</v>
      </c>
      <c r="R186" s="263">
        <f t="shared" ref="R186:S186" si="42">SUM(R187:R192)</f>
        <v>0</v>
      </c>
      <c r="S186" s="263">
        <f t="shared" si="42"/>
        <v>384807.64999999997</v>
      </c>
    </row>
    <row r="187" spans="2:26" ht="77.25" customHeight="1" x14ac:dyDescent="0.25">
      <c r="B187" s="29" t="s">
        <v>610</v>
      </c>
      <c r="C187" s="29" t="s">
        <v>611</v>
      </c>
      <c r="D187" s="23" t="s">
        <v>612</v>
      </c>
      <c r="E187" s="23" t="s">
        <v>138</v>
      </c>
      <c r="F187" s="23" t="s">
        <v>595</v>
      </c>
      <c r="G187" s="23" t="s">
        <v>139</v>
      </c>
      <c r="H187" s="23" t="s">
        <v>613</v>
      </c>
      <c r="I187" s="29" t="s">
        <v>64</v>
      </c>
      <c r="J187" s="29" t="s">
        <v>65</v>
      </c>
      <c r="K187" s="33" t="s">
        <v>66</v>
      </c>
      <c r="L187" s="33" t="s">
        <v>66</v>
      </c>
      <c r="M187" s="33" t="s">
        <v>66</v>
      </c>
      <c r="N187" s="30" t="s">
        <v>164</v>
      </c>
      <c r="O187" s="30">
        <v>2020</v>
      </c>
      <c r="P187" s="26">
        <v>431079.82</v>
      </c>
      <c r="Q187" s="26">
        <v>366417.84</v>
      </c>
      <c r="R187" s="26">
        <v>0</v>
      </c>
      <c r="S187" s="23">
        <f t="shared" ref="S187:S192" si="43">P187-Q187-R187</f>
        <v>64661.979999999981</v>
      </c>
    </row>
    <row r="188" spans="2:26" ht="72.75" customHeight="1" x14ac:dyDescent="0.25">
      <c r="B188" s="29" t="s">
        <v>614</v>
      </c>
      <c r="C188" s="29" t="s">
        <v>615</v>
      </c>
      <c r="D188" s="26" t="s">
        <v>616</v>
      </c>
      <c r="E188" s="26" t="s">
        <v>145</v>
      </c>
      <c r="F188" s="26" t="s">
        <v>595</v>
      </c>
      <c r="G188" s="26" t="s">
        <v>208</v>
      </c>
      <c r="H188" s="26" t="s">
        <v>613</v>
      </c>
      <c r="I188" s="29" t="s">
        <v>64</v>
      </c>
      <c r="J188" s="29" t="s">
        <v>65</v>
      </c>
      <c r="K188" s="33" t="s">
        <v>66</v>
      </c>
      <c r="L188" s="33" t="s">
        <v>66</v>
      </c>
      <c r="M188" s="33" t="s">
        <v>66</v>
      </c>
      <c r="N188" s="30" t="s">
        <v>164</v>
      </c>
      <c r="O188" s="30">
        <v>2020</v>
      </c>
      <c r="P188" s="26">
        <v>368240.29</v>
      </c>
      <c r="Q188" s="26">
        <v>313004.24</v>
      </c>
      <c r="R188" s="26">
        <v>0</v>
      </c>
      <c r="S188" s="23">
        <f>P188-Q188-R188</f>
        <v>55236.049999999988</v>
      </c>
      <c r="Y188" s="27"/>
      <c r="Z188" s="27"/>
    </row>
    <row r="189" spans="2:26" ht="66" customHeight="1" x14ac:dyDescent="0.25">
      <c r="B189" s="29" t="s">
        <v>617</v>
      </c>
      <c r="C189" s="29" t="s">
        <v>618</v>
      </c>
      <c r="D189" s="23" t="s">
        <v>619</v>
      </c>
      <c r="E189" s="23" t="s">
        <v>60</v>
      </c>
      <c r="F189" s="23" t="s">
        <v>595</v>
      </c>
      <c r="G189" s="23" t="s">
        <v>73</v>
      </c>
      <c r="H189" s="23" t="s">
        <v>613</v>
      </c>
      <c r="I189" s="29" t="s">
        <v>64</v>
      </c>
      <c r="J189" s="33" t="s">
        <v>66</v>
      </c>
      <c r="K189" s="33" t="s">
        <v>66</v>
      </c>
      <c r="L189" s="33" t="s">
        <v>66</v>
      </c>
      <c r="M189" s="33" t="s">
        <v>66</v>
      </c>
      <c r="N189" s="30" t="s">
        <v>164</v>
      </c>
      <c r="O189" s="30">
        <v>2019</v>
      </c>
      <c r="P189" s="26">
        <v>301122.82</v>
      </c>
      <c r="Q189" s="26">
        <v>255954.39</v>
      </c>
      <c r="R189" s="26">
        <v>0</v>
      </c>
      <c r="S189" s="23">
        <f t="shared" si="43"/>
        <v>45168.429999999993</v>
      </c>
    </row>
    <row r="190" spans="2:26" ht="130.5" customHeight="1" x14ac:dyDescent="0.25">
      <c r="B190" s="29" t="s">
        <v>620</v>
      </c>
      <c r="C190" s="29" t="s">
        <v>621</v>
      </c>
      <c r="D190" s="23" t="s">
        <v>622</v>
      </c>
      <c r="E190" s="23" t="s">
        <v>93</v>
      </c>
      <c r="F190" s="23" t="s">
        <v>595</v>
      </c>
      <c r="G190" s="23" t="s">
        <v>94</v>
      </c>
      <c r="H190" s="23" t="s">
        <v>613</v>
      </c>
      <c r="I190" s="29" t="s">
        <v>64</v>
      </c>
      <c r="J190" s="33" t="s">
        <v>66</v>
      </c>
      <c r="K190" s="33" t="s">
        <v>66</v>
      </c>
      <c r="L190" s="33" t="s">
        <v>66</v>
      </c>
      <c r="M190" s="33" t="s">
        <v>66</v>
      </c>
      <c r="N190" s="30" t="s">
        <v>164</v>
      </c>
      <c r="O190" s="30">
        <v>2021</v>
      </c>
      <c r="P190" s="26">
        <f>Q190+R190+S190</f>
        <v>606083.22</v>
      </c>
      <c r="Q190" s="49">
        <v>515116</v>
      </c>
      <c r="R190" s="26">
        <v>0</v>
      </c>
      <c r="S190" s="23">
        <v>90967.22</v>
      </c>
    </row>
    <row r="191" spans="2:26" ht="127.5" customHeight="1" x14ac:dyDescent="0.25">
      <c r="B191" s="29" t="s">
        <v>623</v>
      </c>
      <c r="C191" s="29" t="s">
        <v>624</v>
      </c>
      <c r="D191" s="23" t="s">
        <v>625</v>
      </c>
      <c r="E191" s="23" t="s">
        <v>186</v>
      </c>
      <c r="F191" s="23" t="s">
        <v>595</v>
      </c>
      <c r="G191" s="23" t="s">
        <v>187</v>
      </c>
      <c r="H191" s="23" t="s">
        <v>613</v>
      </c>
      <c r="I191" s="29" t="s">
        <v>64</v>
      </c>
      <c r="J191" s="33" t="s">
        <v>66</v>
      </c>
      <c r="K191" s="33" t="s">
        <v>66</v>
      </c>
      <c r="L191" s="33" t="s">
        <v>66</v>
      </c>
      <c r="M191" s="33" t="s">
        <v>66</v>
      </c>
      <c r="N191" s="30" t="s">
        <v>164</v>
      </c>
      <c r="O191" s="30">
        <v>2020</v>
      </c>
      <c r="P191" s="26">
        <f>Q191+R191+S191</f>
        <v>362086.83999999997</v>
      </c>
      <c r="Q191" s="47">
        <v>307773</v>
      </c>
      <c r="R191" s="26">
        <v>0</v>
      </c>
      <c r="S191" s="23">
        <v>54313.84</v>
      </c>
    </row>
    <row r="192" spans="2:26" ht="105.75" customHeight="1" x14ac:dyDescent="0.25">
      <c r="B192" s="29" t="s">
        <v>626</v>
      </c>
      <c r="C192" s="29" t="s">
        <v>627</v>
      </c>
      <c r="D192" s="26" t="s">
        <v>628</v>
      </c>
      <c r="E192" s="26" t="s">
        <v>152</v>
      </c>
      <c r="F192" s="26" t="s">
        <v>595</v>
      </c>
      <c r="G192" s="26" t="s">
        <v>153</v>
      </c>
      <c r="H192" s="26" t="s">
        <v>613</v>
      </c>
      <c r="I192" s="29" t="s">
        <v>64</v>
      </c>
      <c r="J192" s="33" t="s">
        <v>66</v>
      </c>
      <c r="K192" s="33" t="s">
        <v>66</v>
      </c>
      <c r="L192" s="33" t="s">
        <v>66</v>
      </c>
      <c r="M192" s="33" t="s">
        <v>66</v>
      </c>
      <c r="N192" s="30" t="s">
        <v>141</v>
      </c>
      <c r="O192" s="30">
        <v>2019</v>
      </c>
      <c r="P192" s="26">
        <v>496400.84</v>
      </c>
      <c r="Q192" s="26">
        <v>421940.71</v>
      </c>
      <c r="R192" s="26">
        <v>0</v>
      </c>
      <c r="S192" s="26">
        <f t="shared" si="43"/>
        <v>74460.13</v>
      </c>
    </row>
    <row r="193" spans="2:30" ht="219" hidden="1" customHeight="1" x14ac:dyDescent="0.25">
      <c r="B193" s="20" t="s">
        <v>629</v>
      </c>
      <c r="C193" s="20"/>
      <c r="D193" s="20" t="s">
        <v>630</v>
      </c>
      <c r="E193" s="20"/>
      <c r="F193" s="20"/>
      <c r="G193" s="20"/>
      <c r="H193" s="20"/>
      <c r="I193" s="20"/>
      <c r="J193" s="20"/>
      <c r="K193" s="20"/>
      <c r="L193" s="20"/>
      <c r="M193" s="20"/>
      <c r="N193" s="20"/>
      <c r="O193" s="20"/>
      <c r="P193" s="42"/>
      <c r="Q193" s="42"/>
      <c r="R193" s="42"/>
      <c r="S193" s="42"/>
    </row>
    <row r="194" spans="2:30" ht="72.75" hidden="1" customHeight="1" x14ac:dyDescent="0.25">
      <c r="B194" s="21" t="s">
        <v>631</v>
      </c>
      <c r="C194" s="21"/>
      <c r="D194" s="21" t="s">
        <v>632</v>
      </c>
      <c r="E194" s="21"/>
      <c r="F194" s="21"/>
      <c r="G194" s="21"/>
      <c r="H194" s="21"/>
      <c r="I194" s="21"/>
      <c r="J194" s="21"/>
      <c r="K194" s="21"/>
      <c r="L194" s="21"/>
      <c r="M194" s="21"/>
      <c r="N194" s="21"/>
      <c r="O194" s="21"/>
      <c r="P194" s="263">
        <f>SUM(P195:P200)</f>
        <v>5743640.04</v>
      </c>
      <c r="Q194" s="263">
        <f>SUM(Q195:Q200)</f>
        <v>4760141.0600000005</v>
      </c>
      <c r="R194" s="263">
        <f>SUM(R195:R200)</f>
        <v>600000</v>
      </c>
      <c r="S194" s="263">
        <f>SUM(S195:S200)</f>
        <v>383498.98000000016</v>
      </c>
    </row>
    <row r="195" spans="2:30" ht="78" hidden="1" customHeight="1" x14ac:dyDescent="0.25">
      <c r="B195" s="29" t="s">
        <v>633</v>
      </c>
      <c r="C195" s="29" t="s">
        <v>634</v>
      </c>
      <c r="D195" s="26" t="s">
        <v>635</v>
      </c>
      <c r="E195" s="26" t="s">
        <v>138</v>
      </c>
      <c r="F195" s="26" t="s">
        <v>275</v>
      </c>
      <c r="G195" s="26" t="s">
        <v>139</v>
      </c>
      <c r="H195" s="26" t="s">
        <v>636</v>
      </c>
      <c r="I195" s="29" t="s">
        <v>64</v>
      </c>
      <c r="J195" s="29" t="s">
        <v>65</v>
      </c>
      <c r="K195" s="33" t="s">
        <v>66</v>
      </c>
      <c r="L195" s="33" t="s">
        <v>66</v>
      </c>
      <c r="M195" s="33" t="s">
        <v>66</v>
      </c>
      <c r="N195" s="30" t="s">
        <v>142</v>
      </c>
      <c r="O195" s="30">
        <v>2018</v>
      </c>
      <c r="P195" s="26">
        <v>70588</v>
      </c>
      <c r="Q195" s="47">
        <v>59999.8</v>
      </c>
      <c r="R195" s="26">
        <v>0</v>
      </c>
      <c r="S195" s="23">
        <f t="shared" ref="S195:S199" si="44">P195-Q195-R195</f>
        <v>10588.199999999997</v>
      </c>
    </row>
    <row r="196" spans="2:30" ht="80.25" hidden="1" customHeight="1" x14ac:dyDescent="0.25">
      <c r="B196" s="29" t="s">
        <v>637</v>
      </c>
      <c r="C196" s="29" t="s">
        <v>638</v>
      </c>
      <c r="D196" s="23" t="s">
        <v>639</v>
      </c>
      <c r="E196" s="23" t="s">
        <v>640</v>
      </c>
      <c r="F196" s="23" t="s">
        <v>275</v>
      </c>
      <c r="G196" s="23" t="s">
        <v>187</v>
      </c>
      <c r="H196" s="23" t="s">
        <v>636</v>
      </c>
      <c r="I196" s="29" t="s">
        <v>64</v>
      </c>
      <c r="J196" s="29" t="s">
        <v>65</v>
      </c>
      <c r="K196" s="33" t="s">
        <v>66</v>
      </c>
      <c r="L196" s="33" t="s">
        <v>66</v>
      </c>
      <c r="M196" s="33" t="s">
        <v>66</v>
      </c>
      <c r="N196" s="30" t="s">
        <v>67</v>
      </c>
      <c r="O196" s="30">
        <v>2020</v>
      </c>
      <c r="P196" s="26">
        <v>589242.18000000005</v>
      </c>
      <c r="Q196" s="26">
        <v>420000</v>
      </c>
      <c r="R196" s="26">
        <v>0</v>
      </c>
      <c r="S196" s="23">
        <f t="shared" si="44"/>
        <v>169242.18000000005</v>
      </c>
    </row>
    <row r="197" spans="2:30" ht="98.25" hidden="1" customHeight="1" x14ac:dyDescent="0.25">
      <c r="B197" s="29" t="s">
        <v>641</v>
      </c>
      <c r="C197" s="29" t="s">
        <v>642</v>
      </c>
      <c r="D197" s="26" t="s">
        <v>643</v>
      </c>
      <c r="E197" s="26" t="s">
        <v>93</v>
      </c>
      <c r="F197" s="26" t="s">
        <v>275</v>
      </c>
      <c r="G197" s="26" t="s">
        <v>94</v>
      </c>
      <c r="H197" s="26" t="s">
        <v>636</v>
      </c>
      <c r="I197" s="29" t="s">
        <v>64</v>
      </c>
      <c r="J197" s="29" t="s">
        <v>65</v>
      </c>
      <c r="K197" s="33" t="s">
        <v>66</v>
      </c>
      <c r="L197" s="33" t="s">
        <v>66</v>
      </c>
      <c r="M197" s="33" t="s">
        <v>66</v>
      </c>
      <c r="N197" s="30" t="s">
        <v>142</v>
      </c>
      <c r="O197" s="30">
        <v>2018</v>
      </c>
      <c r="P197" s="26">
        <v>256026.88</v>
      </c>
      <c r="Q197" s="26">
        <v>217622.84</v>
      </c>
      <c r="R197" s="26">
        <v>0</v>
      </c>
      <c r="S197" s="23">
        <f t="shared" si="44"/>
        <v>38404.040000000008</v>
      </c>
    </row>
    <row r="198" spans="2:30" ht="90" hidden="1" customHeight="1" x14ac:dyDescent="0.25">
      <c r="B198" s="29" t="s">
        <v>644</v>
      </c>
      <c r="C198" s="29" t="s">
        <v>645</v>
      </c>
      <c r="D198" s="26" t="s">
        <v>646</v>
      </c>
      <c r="E198" s="26" t="s">
        <v>647</v>
      </c>
      <c r="F198" s="26" t="s">
        <v>275</v>
      </c>
      <c r="G198" s="26" t="s">
        <v>208</v>
      </c>
      <c r="H198" s="26" t="s">
        <v>636</v>
      </c>
      <c r="I198" s="29" t="s">
        <v>64</v>
      </c>
      <c r="J198" s="29" t="s">
        <v>65</v>
      </c>
      <c r="K198" s="33" t="s">
        <v>66</v>
      </c>
      <c r="L198" s="33" t="s">
        <v>66</v>
      </c>
      <c r="M198" s="33" t="s">
        <v>66</v>
      </c>
      <c r="N198" s="30" t="s">
        <v>109</v>
      </c>
      <c r="O198" s="30">
        <v>2019</v>
      </c>
      <c r="P198" s="26">
        <v>797588.28</v>
      </c>
      <c r="Q198" s="26">
        <v>636853.66999999993</v>
      </c>
      <c r="R198" s="26">
        <v>0</v>
      </c>
      <c r="S198" s="23">
        <f t="shared" si="44"/>
        <v>160734.6100000001</v>
      </c>
    </row>
    <row r="199" spans="2:30" ht="88.5" hidden="1" customHeight="1" x14ac:dyDescent="0.25">
      <c r="B199" s="29" t="s">
        <v>648</v>
      </c>
      <c r="C199" s="29" t="s">
        <v>649</v>
      </c>
      <c r="D199" s="26" t="s">
        <v>650</v>
      </c>
      <c r="E199" s="26" t="s">
        <v>651</v>
      </c>
      <c r="F199" s="26" t="s">
        <v>275</v>
      </c>
      <c r="G199" s="26" t="s">
        <v>652</v>
      </c>
      <c r="H199" s="26" t="s">
        <v>636</v>
      </c>
      <c r="I199" s="29" t="s">
        <v>64</v>
      </c>
      <c r="J199" s="29" t="s">
        <v>65</v>
      </c>
      <c r="K199" s="33" t="s">
        <v>66</v>
      </c>
      <c r="L199" s="33" t="s">
        <v>66</v>
      </c>
      <c r="M199" s="33" t="s">
        <v>66</v>
      </c>
      <c r="N199" s="30" t="s">
        <v>110</v>
      </c>
      <c r="O199" s="30">
        <v>2020</v>
      </c>
      <c r="P199" s="26">
        <v>4000000</v>
      </c>
      <c r="Q199" s="26">
        <v>3400000</v>
      </c>
      <c r="R199" s="26">
        <v>600000</v>
      </c>
      <c r="S199" s="23">
        <f t="shared" si="44"/>
        <v>0</v>
      </c>
    </row>
    <row r="200" spans="2:30" ht="90.75" hidden="1" customHeight="1" x14ac:dyDescent="0.25">
      <c r="B200" s="29" t="s">
        <v>653</v>
      </c>
      <c r="C200" s="29" t="s">
        <v>654</v>
      </c>
      <c r="D200" s="26" t="s">
        <v>655</v>
      </c>
      <c r="E200" s="26" t="s">
        <v>656</v>
      </c>
      <c r="F200" s="23" t="s">
        <v>275</v>
      </c>
      <c r="G200" s="23" t="s">
        <v>153</v>
      </c>
      <c r="H200" s="23" t="s">
        <v>657</v>
      </c>
      <c r="I200" s="29" t="s">
        <v>64</v>
      </c>
      <c r="J200" s="29" t="s">
        <v>65</v>
      </c>
      <c r="K200" s="33" t="s">
        <v>66</v>
      </c>
      <c r="L200" s="33" t="s">
        <v>66</v>
      </c>
      <c r="M200" s="33" t="s">
        <v>66</v>
      </c>
      <c r="N200" s="30" t="s">
        <v>235</v>
      </c>
      <c r="O200" s="30">
        <v>2020</v>
      </c>
      <c r="P200" s="26">
        <v>30194.7</v>
      </c>
      <c r="Q200" s="26">
        <v>25664.75</v>
      </c>
      <c r="R200" s="26">
        <v>0</v>
      </c>
      <c r="S200" s="26">
        <v>4529.95</v>
      </c>
    </row>
    <row r="201" spans="2:30" ht="102" hidden="1" customHeight="1" x14ac:dyDescent="0.25">
      <c r="B201" s="20" t="s">
        <v>658</v>
      </c>
      <c r="C201" s="20"/>
      <c r="D201" s="20" t="s">
        <v>659</v>
      </c>
      <c r="E201" s="20"/>
      <c r="F201" s="20"/>
      <c r="G201" s="20"/>
      <c r="H201" s="20"/>
      <c r="I201" s="20"/>
      <c r="J201" s="20"/>
      <c r="K201" s="20"/>
      <c r="L201" s="20"/>
      <c r="M201" s="20"/>
      <c r="N201" s="20"/>
      <c r="O201" s="20"/>
      <c r="P201" s="42"/>
      <c r="Q201" s="42"/>
      <c r="R201" s="42"/>
      <c r="S201" s="42"/>
    </row>
    <row r="202" spans="2:30" ht="89.25" hidden="1" customHeight="1" x14ac:dyDescent="0.25">
      <c r="B202" s="21" t="s">
        <v>660</v>
      </c>
      <c r="C202" s="21"/>
      <c r="D202" s="21" t="s">
        <v>661</v>
      </c>
      <c r="E202" s="21"/>
      <c r="F202" s="21"/>
      <c r="G202" s="21"/>
      <c r="H202" s="21"/>
      <c r="I202" s="21"/>
      <c r="J202" s="21"/>
      <c r="K202" s="21"/>
      <c r="L202" s="21"/>
      <c r="M202" s="21"/>
      <c r="N202" s="21"/>
      <c r="O202" s="21"/>
      <c r="P202" s="263">
        <f>SUM(P203:P209)</f>
        <v>1095588.27</v>
      </c>
      <c r="Q202" s="263">
        <f>SUM(Q203:Q209)</f>
        <v>929674.5</v>
      </c>
      <c r="R202" s="263">
        <f>SUM(R203:R209)</f>
        <v>0</v>
      </c>
      <c r="S202" s="263">
        <f>SUM(S203:S209)</f>
        <v>165913.77000000002</v>
      </c>
    </row>
    <row r="203" spans="2:30" ht="99" hidden="1" customHeight="1" x14ac:dyDescent="0.25">
      <c r="B203" s="29" t="s">
        <v>662</v>
      </c>
      <c r="C203" s="29" t="s">
        <v>663</v>
      </c>
      <c r="D203" s="23" t="s">
        <v>664</v>
      </c>
      <c r="E203" s="23" t="s">
        <v>145</v>
      </c>
      <c r="F203" s="23" t="s">
        <v>61</v>
      </c>
      <c r="G203" s="23" t="s">
        <v>665</v>
      </c>
      <c r="H203" s="23" t="s">
        <v>666</v>
      </c>
      <c r="I203" s="29" t="s">
        <v>64</v>
      </c>
      <c r="J203" s="33" t="s">
        <v>66</v>
      </c>
      <c r="K203" s="33" t="s">
        <v>66</v>
      </c>
      <c r="L203" s="33" t="s">
        <v>66</v>
      </c>
      <c r="M203" s="33" t="s">
        <v>66</v>
      </c>
      <c r="N203" s="30" t="s">
        <v>447</v>
      </c>
      <c r="O203" s="30">
        <v>2021</v>
      </c>
      <c r="P203" s="26">
        <v>188236</v>
      </c>
      <c r="Q203" s="26">
        <v>160000</v>
      </c>
      <c r="R203" s="26">
        <v>0</v>
      </c>
      <c r="S203" s="23">
        <f t="shared" ref="S203:S208" si="45">P203-Q203-R203</f>
        <v>28236</v>
      </c>
    </row>
    <row r="204" spans="2:30" ht="100.5" hidden="1" customHeight="1" x14ac:dyDescent="0.25">
      <c r="B204" s="29" t="s">
        <v>667</v>
      </c>
      <c r="C204" s="29" t="s">
        <v>668</v>
      </c>
      <c r="D204" s="23" t="s">
        <v>669</v>
      </c>
      <c r="E204" s="23" t="s">
        <v>93</v>
      </c>
      <c r="F204" s="23" t="s">
        <v>61</v>
      </c>
      <c r="G204" s="23" t="s">
        <v>94</v>
      </c>
      <c r="H204" s="23" t="s">
        <v>666</v>
      </c>
      <c r="I204" s="29" t="s">
        <v>64</v>
      </c>
      <c r="J204" s="33" t="s">
        <v>66</v>
      </c>
      <c r="K204" s="33" t="s">
        <v>66</v>
      </c>
      <c r="L204" s="33" t="s">
        <v>66</v>
      </c>
      <c r="M204" s="33" t="s">
        <v>66</v>
      </c>
      <c r="N204" s="30" t="s">
        <v>235</v>
      </c>
      <c r="O204" s="30">
        <v>2020</v>
      </c>
      <c r="P204" s="26">
        <v>186665</v>
      </c>
      <c r="Q204" s="26">
        <v>158665</v>
      </c>
      <c r="R204" s="26">
        <v>0</v>
      </c>
      <c r="S204" s="23">
        <f t="shared" si="45"/>
        <v>28000</v>
      </c>
    </row>
    <row r="205" spans="2:30" ht="89.25" hidden="1" x14ac:dyDescent="0.25">
      <c r="B205" s="29" t="s">
        <v>670</v>
      </c>
      <c r="C205" s="29" t="s">
        <v>671</v>
      </c>
      <c r="D205" s="26" t="s">
        <v>672</v>
      </c>
      <c r="E205" s="26" t="s">
        <v>186</v>
      </c>
      <c r="F205" s="23" t="s">
        <v>61</v>
      </c>
      <c r="G205" s="23" t="s">
        <v>187</v>
      </c>
      <c r="H205" s="23" t="s">
        <v>666</v>
      </c>
      <c r="I205" s="29" t="s">
        <v>64</v>
      </c>
      <c r="J205" s="33" t="s">
        <v>66</v>
      </c>
      <c r="K205" s="33" t="s">
        <v>66</v>
      </c>
      <c r="L205" s="33" t="s">
        <v>66</v>
      </c>
      <c r="M205" s="33" t="s">
        <v>66</v>
      </c>
      <c r="N205" s="30" t="s">
        <v>447</v>
      </c>
      <c r="O205" s="30">
        <v>2020</v>
      </c>
      <c r="P205" s="26">
        <v>145997.07</v>
      </c>
      <c r="Q205" s="26">
        <v>124097.51</v>
      </c>
      <c r="R205" s="26">
        <v>0</v>
      </c>
      <c r="S205" s="23">
        <f>P205-Q205</f>
        <v>21899.560000000012</v>
      </c>
      <c r="AD205" s="37"/>
    </row>
    <row r="206" spans="2:30" ht="102" hidden="1" x14ac:dyDescent="0.25">
      <c r="B206" s="29" t="s">
        <v>673</v>
      </c>
      <c r="C206" s="29" t="s">
        <v>674</v>
      </c>
      <c r="D206" s="26" t="s">
        <v>675</v>
      </c>
      <c r="E206" s="26" t="s">
        <v>676</v>
      </c>
      <c r="F206" s="23" t="s">
        <v>61</v>
      </c>
      <c r="G206" s="23" t="s">
        <v>153</v>
      </c>
      <c r="H206" s="23" t="s">
        <v>677</v>
      </c>
      <c r="I206" s="29" t="s">
        <v>64</v>
      </c>
      <c r="J206" s="33" t="s">
        <v>66</v>
      </c>
      <c r="K206" s="33" t="s">
        <v>66</v>
      </c>
      <c r="L206" s="33" t="s">
        <v>66</v>
      </c>
      <c r="M206" s="33" t="s">
        <v>66</v>
      </c>
      <c r="N206" s="30" t="s">
        <v>68</v>
      </c>
      <c r="O206" s="30">
        <v>2019</v>
      </c>
      <c r="P206" s="26">
        <v>110338.66</v>
      </c>
      <c r="Q206" s="26">
        <v>93718.52</v>
      </c>
      <c r="R206" s="26">
        <v>0</v>
      </c>
      <c r="S206" s="23">
        <f t="shared" si="45"/>
        <v>16620.14</v>
      </c>
    </row>
    <row r="207" spans="2:30" ht="89.25" hidden="1" x14ac:dyDescent="0.25">
      <c r="B207" s="29" t="s">
        <v>678</v>
      </c>
      <c r="C207" s="29" t="s">
        <v>679</v>
      </c>
      <c r="D207" s="23" t="s">
        <v>680</v>
      </c>
      <c r="E207" s="23" t="s">
        <v>60</v>
      </c>
      <c r="F207" s="23" t="s">
        <v>61</v>
      </c>
      <c r="G207" s="23" t="s">
        <v>681</v>
      </c>
      <c r="H207" s="23" t="s">
        <v>677</v>
      </c>
      <c r="I207" s="29" t="s">
        <v>64</v>
      </c>
      <c r="J207" s="33" t="s">
        <v>66</v>
      </c>
      <c r="K207" s="33" t="s">
        <v>66</v>
      </c>
      <c r="L207" s="33" t="s">
        <v>66</v>
      </c>
      <c r="M207" s="33" t="s">
        <v>66</v>
      </c>
      <c r="N207" s="30" t="s">
        <v>69</v>
      </c>
      <c r="O207" s="30">
        <v>2020</v>
      </c>
      <c r="P207" s="26">
        <v>176470.59</v>
      </c>
      <c r="Q207" s="26">
        <v>150000</v>
      </c>
      <c r="R207" s="26">
        <v>0</v>
      </c>
      <c r="S207" s="23">
        <f t="shared" si="45"/>
        <v>26470.589999999997</v>
      </c>
    </row>
    <row r="208" spans="2:30" s="27" customFormat="1" ht="102" hidden="1" x14ac:dyDescent="0.25">
      <c r="B208" s="29" t="s">
        <v>682</v>
      </c>
      <c r="C208" s="29" t="s">
        <v>683</v>
      </c>
      <c r="D208" s="26" t="s">
        <v>684</v>
      </c>
      <c r="E208" s="26" t="s">
        <v>138</v>
      </c>
      <c r="F208" s="26" t="s">
        <v>61</v>
      </c>
      <c r="G208" s="26" t="s">
        <v>162</v>
      </c>
      <c r="H208" s="26" t="s">
        <v>677</v>
      </c>
      <c r="I208" s="29" t="s">
        <v>64</v>
      </c>
      <c r="J208" s="33" t="s">
        <v>66</v>
      </c>
      <c r="K208" s="33" t="s">
        <v>66</v>
      </c>
      <c r="L208" s="33" t="s">
        <v>66</v>
      </c>
      <c r="M208" s="33" t="s">
        <v>66</v>
      </c>
      <c r="N208" s="30" t="s">
        <v>420</v>
      </c>
      <c r="O208" s="30">
        <v>2021</v>
      </c>
      <c r="P208" s="26">
        <v>157956.47</v>
      </c>
      <c r="Q208" s="26">
        <v>134262.99</v>
      </c>
      <c r="R208" s="26">
        <v>0</v>
      </c>
      <c r="S208" s="23">
        <f t="shared" si="45"/>
        <v>23693.48000000001</v>
      </c>
      <c r="T208" s="6"/>
      <c r="U208" s="6"/>
      <c r="V208" s="6"/>
      <c r="W208" s="6"/>
      <c r="X208" s="6"/>
    </row>
    <row r="209" spans="2:19" ht="89.25" hidden="1" x14ac:dyDescent="0.25">
      <c r="B209" s="29" t="s">
        <v>1177</v>
      </c>
      <c r="C209" s="29" t="s">
        <v>1178</v>
      </c>
      <c r="D209" s="26" t="s">
        <v>1179</v>
      </c>
      <c r="E209" s="26" t="s">
        <v>152</v>
      </c>
      <c r="F209" s="26" t="s">
        <v>61</v>
      </c>
      <c r="G209" s="23" t="s">
        <v>153</v>
      </c>
      <c r="H209" s="23" t="s">
        <v>677</v>
      </c>
      <c r="I209" s="29" t="s">
        <v>64</v>
      </c>
      <c r="J209" s="33" t="s">
        <v>66</v>
      </c>
      <c r="K209" s="33" t="s">
        <v>66</v>
      </c>
      <c r="L209" s="33" t="s">
        <v>66</v>
      </c>
      <c r="M209" s="33" t="s">
        <v>66</v>
      </c>
      <c r="N209" s="30" t="s">
        <v>216</v>
      </c>
      <c r="O209" s="30">
        <v>2022</v>
      </c>
      <c r="P209" s="26">
        <v>129924.48</v>
      </c>
      <c r="Q209" s="26">
        <v>108930.48</v>
      </c>
      <c r="R209" s="26">
        <v>0</v>
      </c>
      <c r="S209" s="23">
        <f>P209-Q209</f>
        <v>20994</v>
      </c>
    </row>
    <row r="210" spans="2:19" s="291" customFormat="1" x14ac:dyDescent="0.25">
      <c r="B210" s="80"/>
      <c r="P210" s="348"/>
      <c r="Q210" s="348"/>
      <c r="R210" s="348"/>
      <c r="S210" s="348"/>
    </row>
    <row r="211" spans="2:19" ht="14.25" customHeight="1" x14ac:dyDescent="0.25"/>
    <row r="220" spans="2:19" hidden="1" x14ac:dyDescent="0.25">
      <c r="B220" s="6" t="s">
        <v>859</v>
      </c>
      <c r="P220" s="355">
        <f>SUBTOTAL(9,P9:P209)</f>
        <v>175461307.42999998</v>
      </c>
      <c r="Q220" s="355">
        <f>SUBTOTAL(9,Q9:Q209)</f>
        <v>121065865.72000003</v>
      </c>
      <c r="R220" s="355">
        <f>SUBTOTAL(9,R9:R209)</f>
        <v>5989294.5200000014</v>
      </c>
      <c r="S220" s="355">
        <f>SUBTOTAL(9,S9:S209)</f>
        <v>48406147.19000002</v>
      </c>
    </row>
  </sheetData>
  <autoFilter ref="B7:S68"/>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5"/>
  <sheetViews>
    <sheetView zoomScaleNormal="100" workbookViewId="0">
      <pane ySplit="8" topLeftCell="A184" activePane="bottomLeft" state="frozen"/>
      <selection pane="bottomLeft" sqref="A1:XFD1048576"/>
    </sheetView>
  </sheetViews>
  <sheetFormatPr defaultRowHeight="15" x14ac:dyDescent="0.25"/>
  <cols>
    <col min="1" max="1" width="4.42578125" style="6" customWidth="1"/>
    <col min="2" max="2" width="7.5703125" style="6" customWidth="1"/>
    <col min="3" max="3" width="9.140625" style="6"/>
    <col min="4" max="4" width="14" style="6" customWidth="1"/>
    <col min="5" max="5" width="10.140625" style="6" customWidth="1"/>
    <col min="6" max="6" width="11.85546875" style="6" customWidth="1"/>
    <col min="7" max="7" width="12" style="6" customWidth="1"/>
    <col min="8" max="8" width="9.140625" style="6"/>
    <col min="9" max="9" width="11.5703125" style="6" customWidth="1"/>
    <col min="10" max="10" width="12.7109375" style="6" customWidth="1"/>
    <col min="11" max="11" width="9.140625" style="6"/>
    <col min="12" max="12" width="11.5703125" style="6" customWidth="1"/>
    <col min="13" max="13" width="12.5703125" style="6" customWidth="1"/>
    <col min="14" max="14" width="9.140625" style="6"/>
    <col min="15" max="15" width="12.140625" style="6" customWidth="1"/>
    <col min="16" max="16" width="12.28515625" style="6" customWidth="1"/>
    <col min="17" max="17" width="9.140625" style="6"/>
    <col min="18" max="18" width="11.42578125" style="6" customWidth="1"/>
    <col min="19" max="19" width="11.5703125" style="6" customWidth="1"/>
    <col min="20" max="20" width="9.140625" style="6"/>
    <col min="21" max="22" width="11.7109375" style="6" customWidth="1"/>
    <col min="23" max="16384" width="9.140625" style="6"/>
  </cols>
  <sheetData>
    <row r="1" spans="2:24" ht="15.75" customHeight="1" x14ac:dyDescent="0.25">
      <c r="R1" s="7"/>
      <c r="S1" s="7"/>
      <c r="T1" s="7" t="s">
        <v>9</v>
      </c>
    </row>
    <row r="2" spans="2:24" ht="15.75" x14ac:dyDescent="0.25">
      <c r="R2" s="8"/>
      <c r="S2" s="8"/>
      <c r="T2" s="8" t="s">
        <v>1</v>
      </c>
    </row>
    <row r="3" spans="2:24" ht="15.75" x14ac:dyDescent="0.25">
      <c r="R3" s="8"/>
      <c r="S3" s="8"/>
      <c r="T3" s="8" t="s">
        <v>2</v>
      </c>
    </row>
    <row r="4" spans="2:24" ht="15.75" x14ac:dyDescent="0.25">
      <c r="R4" s="8"/>
      <c r="S4" s="8"/>
      <c r="T4" s="8"/>
    </row>
    <row r="5" spans="2:24" ht="15.75" x14ac:dyDescent="0.25">
      <c r="B5" s="5" t="s">
        <v>34</v>
      </c>
      <c r="K5" s="8"/>
      <c r="L5" s="8"/>
      <c r="M5" s="8"/>
      <c r="O5" s="8"/>
      <c r="P5" s="8"/>
      <c r="Q5" s="8"/>
    </row>
    <row r="6" spans="2:24" ht="15.75" customHeight="1" x14ac:dyDescent="0.25">
      <c r="B6" s="5" t="s">
        <v>45</v>
      </c>
    </row>
    <row r="7" spans="2:24" ht="32.25" customHeight="1" x14ac:dyDescent="0.25">
      <c r="B7" s="363" t="s">
        <v>19</v>
      </c>
      <c r="C7" s="361" t="s">
        <v>17</v>
      </c>
      <c r="D7" s="363" t="s">
        <v>14</v>
      </c>
      <c r="E7" s="365" t="s">
        <v>15</v>
      </c>
      <c r="F7" s="366"/>
      <c r="G7" s="366"/>
      <c r="H7" s="366"/>
      <c r="I7" s="366"/>
      <c r="J7" s="366"/>
      <c r="K7" s="366"/>
      <c r="L7" s="366"/>
      <c r="M7" s="366"/>
      <c r="N7" s="366"/>
      <c r="O7" s="366"/>
      <c r="P7" s="366"/>
      <c r="Q7" s="366"/>
      <c r="R7" s="366"/>
      <c r="S7" s="366"/>
      <c r="T7" s="366"/>
      <c r="U7" s="366"/>
      <c r="V7" s="367"/>
    </row>
    <row r="8" spans="2:24" ht="36.75" customHeight="1" x14ac:dyDescent="0.25">
      <c r="B8" s="363"/>
      <c r="C8" s="362"/>
      <c r="D8" s="364"/>
      <c r="E8" s="343" t="s">
        <v>4</v>
      </c>
      <c r="F8" s="343" t="s">
        <v>20</v>
      </c>
      <c r="G8" s="343" t="s">
        <v>36</v>
      </c>
      <c r="H8" s="343" t="s">
        <v>26</v>
      </c>
      <c r="I8" s="343" t="s">
        <v>21</v>
      </c>
      <c r="J8" s="343" t="s">
        <v>37</v>
      </c>
      <c r="K8" s="343" t="s">
        <v>11</v>
      </c>
      <c r="L8" s="343" t="s">
        <v>22</v>
      </c>
      <c r="M8" s="343" t="s">
        <v>38</v>
      </c>
      <c r="N8" s="343" t="s">
        <v>12</v>
      </c>
      <c r="O8" s="343" t="s">
        <v>23</v>
      </c>
      <c r="P8" s="343" t="s">
        <v>39</v>
      </c>
      <c r="Q8" s="343" t="s">
        <v>13</v>
      </c>
      <c r="R8" s="343" t="s">
        <v>24</v>
      </c>
      <c r="S8" s="343" t="s">
        <v>40</v>
      </c>
      <c r="T8" s="343" t="s">
        <v>16</v>
      </c>
      <c r="U8" s="343" t="s">
        <v>25</v>
      </c>
      <c r="V8" s="343" t="s">
        <v>41</v>
      </c>
    </row>
    <row r="9" spans="2:24" ht="63.75" hidden="1" x14ac:dyDescent="0.25">
      <c r="B9" s="15" t="s">
        <v>0</v>
      </c>
      <c r="C9" s="15"/>
      <c r="D9" s="15" t="s">
        <v>50</v>
      </c>
      <c r="E9" s="317"/>
      <c r="F9" s="317"/>
      <c r="G9" s="317"/>
      <c r="H9" s="317"/>
      <c r="I9" s="317"/>
      <c r="J9" s="317"/>
      <c r="K9" s="317"/>
      <c r="L9" s="317"/>
      <c r="M9" s="317"/>
      <c r="N9" s="35"/>
      <c r="O9" s="35"/>
      <c r="P9" s="317"/>
      <c r="Q9" s="317"/>
      <c r="R9" s="317"/>
      <c r="S9" s="317"/>
      <c r="T9" s="317"/>
      <c r="U9" s="317"/>
      <c r="V9" s="317"/>
    </row>
    <row r="10" spans="2:24" ht="191.25" hidden="1" customHeight="1" x14ac:dyDescent="0.2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hidden="1" customHeight="1" x14ac:dyDescent="0.25">
      <c r="B11" s="19" t="s">
        <v>53</v>
      </c>
      <c r="C11" s="20"/>
      <c r="D11" s="20" t="s">
        <v>54</v>
      </c>
      <c r="E11" s="20"/>
      <c r="F11" s="20"/>
      <c r="G11" s="19"/>
      <c r="H11" s="20"/>
      <c r="I11" s="20"/>
      <c r="J11" s="20"/>
      <c r="K11" s="19"/>
      <c r="L11" s="20"/>
      <c r="M11" s="20"/>
      <c r="N11" s="20"/>
      <c r="O11" s="19"/>
      <c r="P11" s="20"/>
      <c r="Q11" s="20"/>
      <c r="R11" s="20"/>
      <c r="S11" s="19"/>
      <c r="T11" s="20"/>
      <c r="U11" s="20"/>
      <c r="V11" s="20"/>
    </row>
    <row r="12" spans="2:24" ht="54" hidden="1" customHeight="1" x14ac:dyDescent="0.25">
      <c r="B12" s="21" t="s">
        <v>55</v>
      </c>
      <c r="C12" s="21"/>
      <c r="D12" s="75" t="s">
        <v>56</v>
      </c>
      <c r="E12" s="21"/>
      <c r="F12" s="21"/>
      <c r="G12" s="21"/>
      <c r="H12" s="21"/>
      <c r="I12" s="21"/>
      <c r="J12" s="21"/>
      <c r="K12" s="21"/>
      <c r="L12" s="21"/>
      <c r="M12" s="21"/>
      <c r="N12" s="21"/>
      <c r="O12" s="21"/>
      <c r="P12" s="21"/>
      <c r="Q12" s="21"/>
      <c r="R12" s="21"/>
      <c r="S12" s="21"/>
      <c r="T12" s="21"/>
      <c r="U12" s="21"/>
      <c r="V12" s="21"/>
      <c r="W12" s="344" t="s">
        <v>148</v>
      </c>
      <c r="X12" s="344" t="s">
        <v>1383</v>
      </c>
    </row>
    <row r="13" spans="2:24" ht="89.25" hidden="1" x14ac:dyDescent="0.25">
      <c r="B13" s="29" t="str">
        <f>'[1]1 lentelė'!B13</f>
        <v>1.1.1.1.1</v>
      </c>
      <c r="C13" s="29" t="str">
        <f>'[1]1 lentelė'!C13</f>
        <v>R099905-342900-1101</v>
      </c>
      <c r="D13" s="29" t="str">
        <f>'[1]1 lentelė'!D13</f>
        <v>Anykščių miesto viešųjų erdvių sistemos pertvarkymas (I etapas)</v>
      </c>
      <c r="E13" s="26" t="s">
        <v>685</v>
      </c>
      <c r="F13" s="26" t="s">
        <v>686</v>
      </c>
      <c r="G13" s="26">
        <v>6826.23</v>
      </c>
      <c r="H13" s="26" t="s">
        <v>687</v>
      </c>
      <c r="I13" s="26" t="s">
        <v>688</v>
      </c>
      <c r="J13" s="26">
        <v>844.65</v>
      </c>
      <c r="K13" s="23"/>
      <c r="L13" s="23"/>
      <c r="M13" s="23"/>
      <c r="N13" s="31"/>
      <c r="O13" s="31"/>
      <c r="P13" s="23"/>
      <c r="Q13" s="48"/>
      <c r="R13" s="48"/>
      <c r="S13" s="48"/>
      <c r="T13" s="48"/>
      <c r="U13" s="48"/>
      <c r="V13" s="48"/>
      <c r="W13" s="6">
        <f>SUMIF(Q:Q,"P.B.238",S:S)</f>
        <v>0</v>
      </c>
      <c r="X13" s="32">
        <f>S13+T13+U13+V13+W13</f>
        <v>0</v>
      </c>
    </row>
    <row r="14" spans="2:24" ht="69.75" hidden="1" customHeight="1" x14ac:dyDescent="0.25">
      <c r="B14" s="29" t="str">
        <f>'[1]1 lentelė'!B14</f>
        <v>1.1.1.1.2</v>
      </c>
      <c r="C14" s="29" t="str">
        <f>'[1]1 lentelė'!C14</f>
        <v>R099905-280000-1102</v>
      </c>
      <c r="D14" s="29" t="str">
        <f>'[1]1 lentelė'!D14</f>
        <v xml:space="preserve">Anykščių miesto viešųjų erdvių sistemos pertvarkymas (II etapas) </v>
      </c>
      <c r="E14" s="26" t="s">
        <v>685</v>
      </c>
      <c r="F14" s="26" t="s">
        <v>686</v>
      </c>
      <c r="G14" s="72">
        <v>5766</v>
      </c>
      <c r="H14" s="26"/>
      <c r="I14" s="26"/>
      <c r="J14" s="26"/>
      <c r="K14" s="23"/>
      <c r="L14" s="23"/>
      <c r="M14" s="23"/>
      <c r="N14" s="31"/>
      <c r="O14" s="31"/>
      <c r="P14" s="23"/>
      <c r="Q14" s="48"/>
      <c r="R14" s="48"/>
      <c r="S14" s="48"/>
      <c r="T14" s="48"/>
      <c r="U14" s="48"/>
      <c r="V14" s="48"/>
      <c r="W14" s="6">
        <f>SUMIF(Q:Q,"P.B.235",S:S)</f>
        <v>0</v>
      </c>
      <c r="X14" s="32">
        <f>S14+T14+U14+V14+W14</f>
        <v>0</v>
      </c>
    </row>
    <row r="15" spans="2:24" ht="84" hidden="1" customHeight="1" x14ac:dyDescent="0.25">
      <c r="B15" s="29" t="str">
        <f>'[1]1 lentelė'!B15</f>
        <v>1.1.1.1.3</v>
      </c>
      <c r="C15" s="29" t="str">
        <f>'[1]1 lentelė'!C15</f>
        <v>R099905-320000-1103</v>
      </c>
      <c r="D15" s="29" t="str">
        <f>'[1]1 lentelė'!D15</f>
        <v xml:space="preserve">Bendruomeninės aktyvaus laisvalaikio infrastruktūros įrengimas Anykščių mieste  </v>
      </c>
      <c r="E15" s="26" t="s">
        <v>685</v>
      </c>
      <c r="F15" s="26" t="s">
        <v>686</v>
      </c>
      <c r="G15" s="26">
        <v>98827</v>
      </c>
      <c r="H15" s="26"/>
      <c r="I15" s="26"/>
      <c r="J15" s="26"/>
      <c r="K15" s="23"/>
      <c r="L15" s="23"/>
      <c r="M15" s="23"/>
      <c r="N15" s="31"/>
      <c r="O15" s="31"/>
      <c r="P15" s="23"/>
      <c r="Q15" s="48"/>
      <c r="R15" s="48"/>
      <c r="S15" s="48"/>
      <c r="T15" s="48"/>
      <c r="U15" s="48"/>
      <c r="V15" s="48"/>
      <c r="W15" s="6">
        <f>SUMIF(Q:Q,"P.B.209",S:S)</f>
        <v>0</v>
      </c>
      <c r="X15" s="32">
        <f t="shared" ref="X15:X37" si="0">S15+T15+U15+V15+W15</f>
        <v>0</v>
      </c>
    </row>
    <row r="16" spans="2:24" ht="61.5" hidden="1" customHeight="1" x14ac:dyDescent="0.25">
      <c r="B16" s="29" t="str">
        <f>'[1]1 lentelė'!B16</f>
        <v xml:space="preserve">1.1.1.1.4   </v>
      </c>
      <c r="C16" s="29" t="str">
        <f>'[1]1 lentelė'!C16</f>
        <v>R099905-302804-1104</v>
      </c>
      <c r="D16" s="29" t="str">
        <f>'[1]1 lentelė'!D16</f>
        <v xml:space="preserve">Anykščių miesto viešųjų erdvių sistemos pertvarkymas (III etapas) </v>
      </c>
      <c r="E16" s="26" t="s">
        <v>685</v>
      </c>
      <c r="F16" s="26" t="s">
        <v>686</v>
      </c>
      <c r="G16" s="31">
        <v>27860</v>
      </c>
      <c r="H16" s="26"/>
      <c r="I16" s="26"/>
      <c r="J16" s="26"/>
      <c r="K16" s="23"/>
      <c r="L16" s="23"/>
      <c r="M16" s="23"/>
      <c r="N16" s="31"/>
      <c r="O16" s="31"/>
      <c r="P16" s="23"/>
      <c r="Q16" s="48"/>
      <c r="R16" s="48"/>
      <c r="S16" s="48"/>
      <c r="T16" s="48"/>
      <c r="U16" s="48"/>
      <c r="V16" s="48"/>
      <c r="W16" s="6">
        <f>SUMIF(Q:Q,"P.B.214",S:S)</f>
        <v>0</v>
      </c>
      <c r="X16" s="37">
        <f t="shared" si="0"/>
        <v>0</v>
      </c>
    </row>
    <row r="17" spans="2:29" ht="119.25" hidden="1" customHeight="1" x14ac:dyDescent="0.25">
      <c r="B17" s="29" t="str">
        <f>'[1]1 lentelė'!B17</f>
        <v>1.1.1.1.5</v>
      </c>
      <c r="C17" s="29" t="str">
        <f>'[1]1 lentelė'!C17</f>
        <v>R099905-290000-1105</v>
      </c>
      <c r="D17" s="29" t="str">
        <f>'[1]1 lentelė'!D17</f>
        <v>Molėtų miesto Ąžuolų ir Kreivosios gatvių teritorijų išnaudojimas įrengiant universalią daugiafunkcinę aikštę</v>
      </c>
      <c r="E17" s="26" t="s">
        <v>685</v>
      </c>
      <c r="F17" s="26" t="s">
        <v>691</v>
      </c>
      <c r="G17" s="26">
        <v>78609</v>
      </c>
      <c r="H17" s="26"/>
      <c r="I17" s="26"/>
      <c r="J17" s="26"/>
      <c r="K17" s="23"/>
      <c r="L17" s="23"/>
      <c r="M17" s="23"/>
      <c r="N17" s="31"/>
      <c r="O17" s="31"/>
      <c r="P17" s="23"/>
      <c r="Q17" s="48"/>
      <c r="R17" s="48"/>
      <c r="S17" s="48"/>
      <c r="T17" s="48"/>
      <c r="U17" s="48"/>
      <c r="V17" s="48"/>
      <c r="W17" s="6">
        <f>SUMIF(Q:Q,"P.B.214",S:S)</f>
        <v>0</v>
      </c>
      <c r="X17" s="32">
        <f t="shared" si="0"/>
        <v>0</v>
      </c>
    </row>
    <row r="18" spans="2:29" ht="71.25" hidden="1" customHeight="1" x14ac:dyDescent="0.25">
      <c r="B18" s="29" t="str">
        <f>'[1]1 lentelė'!B18</f>
        <v>1.1.1.1.6</v>
      </c>
      <c r="C18" s="29" t="str">
        <f>'[1]1 lentelė'!C18</f>
        <v>R099905-302900-1106</v>
      </c>
      <c r="D18" s="29" t="str">
        <f>'[1]1 lentelė'!D18</f>
        <v>Molėtų miesto centrinės dalies kompleksinis sutvarkymas (II etapas)</v>
      </c>
      <c r="E18" s="26" t="s">
        <v>685</v>
      </c>
      <c r="F18" s="26" t="s">
        <v>691</v>
      </c>
      <c r="G18" s="26">
        <v>4426.5</v>
      </c>
      <c r="H18" s="26"/>
      <c r="I18" s="26"/>
      <c r="J18" s="26"/>
      <c r="K18" s="23"/>
      <c r="L18" s="23"/>
      <c r="M18" s="23"/>
      <c r="N18" s="31"/>
      <c r="O18" s="31"/>
      <c r="P18" s="23"/>
      <c r="Q18" s="48"/>
      <c r="R18" s="48"/>
      <c r="S18" s="48"/>
      <c r="T18" s="48"/>
      <c r="U18" s="48"/>
      <c r="V18" s="48"/>
      <c r="W18" s="6">
        <f>SUMIF(Q:Q,"P.B.239",S:S)</f>
        <v>0</v>
      </c>
      <c r="X18" s="32">
        <f t="shared" si="0"/>
        <v>0</v>
      </c>
    </row>
    <row r="19" spans="2:29" ht="90.75" hidden="1" customHeight="1" x14ac:dyDescent="0.25">
      <c r="B19" s="29" t="str">
        <f>'[1]1 lentelė'!B19</f>
        <v>1.1.1.1.7</v>
      </c>
      <c r="C19" s="29" t="str">
        <f>'[1]1 lentelė'!C19</f>
        <v>R099905-293400-1107</v>
      </c>
      <c r="D19" s="29" t="str">
        <f>'[1]1 lentelė'!D19</f>
        <v>Prekybos ir paslaugų pasažo įrengimas D. Bukonto gatvėje Zarasų mieste</v>
      </c>
      <c r="E19" s="26" t="s">
        <v>685</v>
      </c>
      <c r="F19" s="26" t="s">
        <v>686</v>
      </c>
      <c r="G19" s="26">
        <v>1230</v>
      </c>
      <c r="H19" s="26" t="s">
        <v>687</v>
      </c>
      <c r="I19" s="26" t="s">
        <v>688</v>
      </c>
      <c r="J19" s="26">
        <v>325</v>
      </c>
      <c r="K19" s="26"/>
      <c r="L19" s="26"/>
      <c r="M19" s="26"/>
      <c r="N19" s="29"/>
      <c r="O19" s="29"/>
      <c r="P19" s="26"/>
      <c r="Q19" s="65"/>
      <c r="R19" s="65"/>
      <c r="S19" s="65"/>
      <c r="T19" s="65"/>
      <c r="U19" s="65"/>
      <c r="V19" s="65"/>
      <c r="W19" s="27">
        <f>SUMIF(Q:Q,"P.N.028",S:S)</f>
        <v>0</v>
      </c>
      <c r="X19" s="345" t="s">
        <v>685</v>
      </c>
      <c r="Y19" s="345" t="s">
        <v>686</v>
      </c>
      <c r="Z19" s="345">
        <v>1050</v>
      </c>
      <c r="AA19" s="345" t="s">
        <v>687</v>
      </c>
      <c r="AB19" s="345" t="s">
        <v>688</v>
      </c>
      <c r="AC19" s="345">
        <v>290</v>
      </c>
    </row>
    <row r="20" spans="2:29" ht="140.25" hidden="1" customHeight="1" x14ac:dyDescent="0.2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685</v>
      </c>
      <c r="F20" s="26" t="s">
        <v>686</v>
      </c>
      <c r="G20" s="26">
        <v>18321</v>
      </c>
      <c r="H20" s="26"/>
      <c r="I20" s="26"/>
      <c r="J20" s="26"/>
      <c r="K20" s="26"/>
      <c r="L20" s="26"/>
      <c r="M20" s="26"/>
      <c r="N20" s="29"/>
      <c r="O20" s="29"/>
      <c r="P20" s="26"/>
      <c r="Q20" s="65"/>
      <c r="R20" s="65"/>
      <c r="S20" s="65"/>
      <c r="T20" s="65"/>
      <c r="U20" s="65"/>
      <c r="V20" s="65"/>
      <c r="W20" s="27">
        <f>SUMIF(Q:Q,"P.N.050",S:S)</f>
        <v>0</v>
      </c>
      <c r="X20" s="346">
        <f t="shared" si="0"/>
        <v>0</v>
      </c>
      <c r="Y20" s="27"/>
    </row>
    <row r="21" spans="2:29" ht="66" hidden="1" customHeight="1" x14ac:dyDescent="0.25">
      <c r="B21" s="29" t="str">
        <f>'[1]1 lentelė'!B21</f>
        <v>1.1.1.1.9</v>
      </c>
      <c r="C21" s="29" t="str">
        <f>'[1]1 lentelė'!C21</f>
        <v>R099905-290000-1119</v>
      </c>
      <c r="D21" s="29" t="str">
        <f>'[1]1 lentelė'!D21</f>
        <v xml:space="preserve">Molėtų miesto centrinės dalies kompleksinis sutvarkymas (I etapas) </v>
      </c>
      <c r="E21" s="26" t="s">
        <v>685</v>
      </c>
      <c r="F21" s="26" t="s">
        <v>691</v>
      </c>
      <c r="G21" s="26">
        <v>8081.1</v>
      </c>
      <c r="H21" s="26"/>
      <c r="I21" s="26"/>
      <c r="J21" s="26"/>
      <c r="K21" s="26"/>
      <c r="L21" s="26"/>
      <c r="M21" s="26"/>
      <c r="N21" s="29"/>
      <c r="O21" s="29"/>
      <c r="P21" s="26"/>
      <c r="Q21" s="65"/>
      <c r="R21" s="65"/>
      <c r="S21" s="65"/>
      <c r="T21" s="65"/>
      <c r="U21" s="65"/>
      <c r="V21" s="65"/>
      <c r="W21" s="27">
        <f>SUMIF(Q:Q,"P.N.051",S:S)</f>
        <v>0</v>
      </c>
      <c r="X21" s="346">
        <f t="shared" si="0"/>
        <v>0</v>
      </c>
      <c r="Y21" s="27"/>
    </row>
    <row r="22" spans="2:29" ht="69" hidden="1" customHeight="1" x14ac:dyDescent="0.25">
      <c r="B22" s="29" t="str">
        <f>'[1]1 lentelė'!B22</f>
        <v xml:space="preserve">1.1.1.1.10 </v>
      </c>
      <c r="C22" s="29" t="str">
        <f>'[1]1 lentelė'!C22</f>
        <v>R099905-282900-1110</v>
      </c>
      <c r="D22" s="29" t="str">
        <f>'[1]1 lentelė'!D22</f>
        <v xml:space="preserve">Viešųjų erdvių Zarasų miesto Didžiojoje saloje sutvarkymas </v>
      </c>
      <c r="E22" s="26" t="s">
        <v>685</v>
      </c>
      <c r="F22" s="26" t="s">
        <v>686</v>
      </c>
      <c r="G22" s="26">
        <v>331458</v>
      </c>
      <c r="H22" s="26"/>
      <c r="I22" s="26"/>
      <c r="J22" s="26"/>
      <c r="K22" s="26"/>
      <c r="L22" s="26"/>
      <c r="M22" s="26"/>
      <c r="N22" s="29"/>
      <c r="O22" s="29"/>
      <c r="P22" s="26"/>
      <c r="Q22" s="65"/>
      <c r="R22" s="65"/>
      <c r="S22" s="65"/>
      <c r="T22" s="65"/>
      <c r="U22" s="65"/>
      <c r="V22" s="65"/>
      <c r="W22" s="27">
        <f>SUMIF(Q:Q,"P.N.053",S:S)</f>
        <v>0</v>
      </c>
      <c r="X22" s="346">
        <f t="shared" si="0"/>
        <v>0</v>
      </c>
      <c r="Y22" s="27"/>
    </row>
    <row r="23" spans="2:29" ht="87.75" hidden="1" customHeight="1" x14ac:dyDescent="0.25">
      <c r="B23" s="29" t="str">
        <f>'[1]1 lentelė'!B23</f>
        <v xml:space="preserve">1.1.1.1.11 </v>
      </c>
      <c r="C23" s="29" t="str">
        <f>'[1]1 lentelė'!C23</f>
        <v>R099905-282900-1111</v>
      </c>
      <c r="D23" s="29" t="str">
        <f>'[1]1 lentelė'!D23</f>
        <v xml:space="preserve">Viešųjų erdvių prie Zarasaičio ežero sutvarkymas ir aktyvaus poilsio infrastruktūros įrengimas </v>
      </c>
      <c r="E23" s="26" t="s">
        <v>685</v>
      </c>
      <c r="F23" s="26" t="s">
        <v>686</v>
      </c>
      <c r="G23" s="26">
        <v>46848</v>
      </c>
      <c r="H23" s="26"/>
      <c r="I23" s="26"/>
      <c r="J23" s="26"/>
      <c r="K23" s="26"/>
      <c r="L23" s="26"/>
      <c r="M23" s="26"/>
      <c r="N23" s="29"/>
      <c r="O23" s="29"/>
      <c r="P23" s="26"/>
      <c r="Q23" s="65"/>
      <c r="R23" s="65"/>
      <c r="S23" s="65"/>
      <c r="T23" s="65"/>
      <c r="U23" s="65"/>
      <c r="V23" s="65"/>
      <c r="W23" s="27">
        <f>SUMIF(Q:Q,"P.N.054",S:S)</f>
        <v>27</v>
      </c>
      <c r="X23" s="346">
        <f t="shared" si="0"/>
        <v>27</v>
      </c>
      <c r="Y23" s="27"/>
    </row>
    <row r="24" spans="2:29" ht="76.5" hidden="1" x14ac:dyDescent="0.25">
      <c r="B24" s="29" t="str">
        <f>'[1]1 lentelė'!B24</f>
        <v>1.1.1.1.12</v>
      </c>
      <c r="C24" s="29" t="str">
        <f>'[1]1 lentelė'!C24</f>
        <v>R099905-281900-1112</v>
      </c>
      <c r="D24" s="29" t="str">
        <f>'[1]1 lentelė'!D24</f>
        <v xml:space="preserve">Viešosios aktyvaus laisvalaikio infrastruktūros plėtra Molėtų mieste, II etapas </v>
      </c>
      <c r="E24" s="26" t="s">
        <v>685</v>
      </c>
      <c r="F24" s="26" t="s">
        <v>691</v>
      </c>
      <c r="G24" s="26">
        <v>58654</v>
      </c>
      <c r="H24" s="26"/>
      <c r="I24" s="26"/>
      <c r="J24" s="26"/>
      <c r="K24" s="23"/>
      <c r="L24" s="23"/>
      <c r="M24" s="23"/>
      <c r="N24" s="31"/>
      <c r="O24" s="31"/>
      <c r="P24" s="23"/>
      <c r="Q24" s="48"/>
      <c r="R24" s="48"/>
      <c r="S24" s="48"/>
      <c r="T24" s="48"/>
      <c r="U24" s="48"/>
      <c r="V24" s="48"/>
      <c r="W24" s="6">
        <f>SUMIF(Q:Q,"P.N.092",S:S)</f>
        <v>0</v>
      </c>
      <c r="X24" s="32">
        <f t="shared" si="0"/>
        <v>0</v>
      </c>
    </row>
    <row r="25" spans="2:29" ht="90.75" hidden="1" customHeight="1" x14ac:dyDescent="0.25">
      <c r="B25" s="29" t="str">
        <f>'[1]1 lentelė'!B25</f>
        <v>1.1.1.1.13</v>
      </c>
      <c r="C25" s="29" t="str">
        <f>'[1]1 lentelė'!C25</f>
        <v>R099905-302900-1113</v>
      </c>
      <c r="D25" s="29" t="str">
        <f>'[1]1 lentelė'!D25</f>
        <v xml:space="preserve">Molėtų miesto J. Janonio g. gyvenamojo kvartalo viešosios infrastruktūros sutvarkymas </v>
      </c>
      <c r="E25" s="26" t="s">
        <v>685</v>
      </c>
      <c r="F25" s="26" t="s">
        <v>691</v>
      </c>
      <c r="G25" s="26">
        <v>5152.57</v>
      </c>
      <c r="H25" s="26"/>
      <c r="I25" s="26"/>
      <c r="J25" s="26"/>
      <c r="K25" s="23"/>
      <c r="L25" s="23"/>
      <c r="M25" s="23"/>
      <c r="N25" s="31"/>
      <c r="O25" s="31"/>
      <c r="P25" s="23"/>
      <c r="Q25" s="48"/>
      <c r="R25" s="48"/>
      <c r="S25" s="48"/>
      <c r="T25" s="48"/>
      <c r="U25" s="48"/>
      <c r="V25" s="48"/>
      <c r="X25" s="32"/>
    </row>
    <row r="26" spans="2:29" ht="68.25" hidden="1" customHeight="1" x14ac:dyDescent="0.25">
      <c r="B26" s="29" t="str">
        <f>'[2]1 lentelė'!B26</f>
        <v xml:space="preserve">1.1.1.1.14 </v>
      </c>
      <c r="C26" s="29" t="str">
        <f>'[2]1 lentelė'!C26</f>
        <v>R099905-243200-1114</v>
      </c>
      <c r="D26" s="29" t="str">
        <f>'[2]1 lentelė'!D26</f>
        <v xml:space="preserve">Zarasų Pauliaus Širvio progimnazijos sporto aikštyno įrengimas </v>
      </c>
      <c r="E26" s="23" t="s">
        <v>685</v>
      </c>
      <c r="F26" s="23" t="s">
        <v>686</v>
      </c>
      <c r="G26" s="26">
        <v>30387</v>
      </c>
      <c r="H26" s="23"/>
      <c r="I26" s="23"/>
      <c r="J26" s="23"/>
      <c r="K26" s="23"/>
      <c r="L26" s="23"/>
      <c r="M26" s="23"/>
      <c r="N26" s="31"/>
      <c r="O26" s="31"/>
      <c r="P26" s="23"/>
      <c r="Q26" s="48"/>
      <c r="R26" s="48"/>
      <c r="S26" s="48"/>
      <c r="T26" s="48"/>
      <c r="U26" s="48"/>
      <c r="V26" s="48"/>
      <c r="W26" s="6">
        <f>SUMIF(Q:Q,"P.N.304",S:S)</f>
        <v>0</v>
      </c>
      <c r="X26" s="32">
        <f t="shared" ref="X26" si="1">S26+T26+U26+V26+W26</f>
        <v>0</v>
      </c>
    </row>
    <row r="27" spans="2:29" ht="97.5" hidden="1" customHeight="1" x14ac:dyDescent="0.25">
      <c r="B27" s="29" t="str">
        <f>'1 lentelė'!B27</f>
        <v>1.1.1.1.15</v>
      </c>
      <c r="C27" s="29" t="str">
        <f>'1 lentelė'!C27</f>
        <v>R02-9906-290000-1115</v>
      </c>
      <c r="D27" s="29" t="str">
        <f>'1 lentelė'!D27</f>
        <v>Autobusų stoties su turizmo informacijos centru įrengimas Visagino savivaldybėje</v>
      </c>
      <c r="E27" s="26"/>
      <c r="F27" s="26"/>
      <c r="G27" s="26"/>
      <c r="H27" s="26" t="s">
        <v>687</v>
      </c>
      <c r="I27" s="26" t="s">
        <v>1486</v>
      </c>
      <c r="J27" s="26">
        <v>150</v>
      </c>
      <c r="K27" s="23"/>
      <c r="L27" s="23"/>
      <c r="M27" s="23"/>
      <c r="N27" s="31"/>
      <c r="O27" s="31"/>
      <c r="P27" s="23"/>
      <c r="Q27" s="48"/>
      <c r="R27" s="48"/>
      <c r="S27" s="48"/>
      <c r="T27" s="48"/>
      <c r="U27" s="48"/>
      <c r="V27" s="48"/>
      <c r="X27" s="32"/>
    </row>
    <row r="28" spans="2:29" ht="99" hidden="1" customHeight="1" x14ac:dyDescent="0.25">
      <c r="B28" s="29" t="str">
        <f>'1 lentelė'!B28</f>
        <v>1.1.1.1.16</v>
      </c>
      <c r="C28" s="29" t="str">
        <f>'1 lentelė'!C28</f>
        <v>R02-9906-290000-1116</v>
      </c>
      <c r="D28" s="29" t="str">
        <f>'1 lentelė'!D28</f>
        <v>Jungties nuo geležinkelio stoties iki Visagino miesto centro kartu su etnokultūrų parku įrengimas</v>
      </c>
      <c r="E28" s="26" t="s">
        <v>685</v>
      </c>
      <c r="F28" s="26" t="s">
        <v>691</v>
      </c>
      <c r="G28" s="26">
        <v>2290</v>
      </c>
      <c r="H28" s="26"/>
      <c r="I28" s="26"/>
      <c r="J28" s="23"/>
      <c r="K28" s="23"/>
      <c r="L28" s="23"/>
      <c r="M28" s="23"/>
      <c r="N28" s="31"/>
      <c r="O28" s="31"/>
      <c r="P28" s="23"/>
      <c r="Q28" s="48"/>
      <c r="R28" s="48"/>
      <c r="S28" s="48"/>
      <c r="T28" s="48"/>
      <c r="U28" s="48"/>
      <c r="V28" s="48"/>
      <c r="X28" s="32"/>
    </row>
    <row r="29" spans="2:29" ht="68.25" hidden="1" customHeight="1" x14ac:dyDescent="0.25">
      <c r="B29" s="29" t="str">
        <f>'1 lentelė'!B29</f>
        <v>1.1.1.1.17</v>
      </c>
      <c r="C29" s="29" t="str">
        <f>'1 lentelė'!C29</f>
        <v>R02-9906-290000-1117</v>
      </c>
      <c r="D29" s="29" t="str">
        <f>'1 lentelė'!D29</f>
        <v>Sedulinos alėjos atkarpos nuo Parko g. iki Visagino g. rekonstrukcija</v>
      </c>
      <c r="E29" s="26" t="s">
        <v>685</v>
      </c>
      <c r="F29" s="26" t="s">
        <v>691</v>
      </c>
      <c r="G29" s="26">
        <v>12968</v>
      </c>
      <c r="H29" s="26"/>
      <c r="I29" s="26"/>
      <c r="J29" s="23"/>
      <c r="K29" s="23"/>
      <c r="L29" s="23"/>
      <c r="M29" s="23"/>
      <c r="N29" s="31"/>
      <c r="O29" s="31"/>
      <c r="P29" s="23"/>
      <c r="Q29" s="48"/>
      <c r="R29" s="48"/>
      <c r="S29" s="48"/>
      <c r="T29" s="48"/>
      <c r="U29" s="48"/>
      <c r="V29" s="48"/>
      <c r="X29" s="32"/>
    </row>
    <row r="30" spans="2:29" ht="54" hidden="1" customHeight="1" x14ac:dyDescent="0.25">
      <c r="B30" s="29" t="str">
        <f>'1 lentelė'!B30</f>
        <v>1.1.1.1.18</v>
      </c>
      <c r="C30" s="29" t="str">
        <f>'1 lentelė'!C30</f>
        <v>R02-9906-290000-1118</v>
      </c>
      <c r="D30" s="29" t="str">
        <f>'1 lentelė'!D30</f>
        <v>Visagino inovacijų klasterio įkūrimas</v>
      </c>
      <c r="E30" s="26" t="s">
        <v>685</v>
      </c>
      <c r="F30" s="26" t="s">
        <v>691</v>
      </c>
      <c r="G30" s="26">
        <v>322</v>
      </c>
      <c r="H30" s="26"/>
      <c r="I30" s="26"/>
      <c r="J30" s="23"/>
      <c r="K30" s="23"/>
      <c r="L30" s="23"/>
      <c r="M30" s="23"/>
      <c r="N30" s="31"/>
      <c r="O30" s="31"/>
      <c r="P30" s="23"/>
      <c r="Q30" s="48"/>
      <c r="R30" s="48"/>
      <c r="S30" s="48"/>
      <c r="T30" s="48"/>
      <c r="U30" s="48"/>
      <c r="V30" s="48"/>
      <c r="X30" s="32"/>
    </row>
    <row r="31" spans="2:29" ht="120.75" hidden="1"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26" t="s">
        <v>685</v>
      </c>
      <c r="F31" s="26" t="s">
        <v>686</v>
      </c>
      <c r="G31" s="26">
        <v>19046</v>
      </c>
      <c r="H31" s="26"/>
      <c r="I31" s="26"/>
      <c r="J31" s="23"/>
      <c r="K31" s="23"/>
      <c r="L31" s="23"/>
      <c r="M31" s="23"/>
      <c r="N31" s="31"/>
      <c r="O31" s="31"/>
      <c r="P31" s="23"/>
      <c r="Q31" s="48"/>
      <c r="R31" s="48"/>
      <c r="S31" s="48"/>
      <c r="T31" s="48"/>
      <c r="U31" s="48"/>
      <c r="V31" s="48"/>
      <c r="X31" s="32"/>
    </row>
    <row r="32" spans="2:29" ht="67.5" hidden="1" customHeight="1" x14ac:dyDescent="0.2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W32" s="6">
        <f>SUMIF(Q:Q,"P.N.403",S:S)</f>
        <v>0</v>
      </c>
      <c r="X32" s="32">
        <f t="shared" si="0"/>
        <v>0</v>
      </c>
    </row>
    <row r="33" spans="2:29" ht="69.75" hidden="1" customHeight="1" x14ac:dyDescent="0.25">
      <c r="B33" s="29" t="str">
        <f>'[1]1 lentelė'!B28</f>
        <v>1.1.1.2.1</v>
      </c>
      <c r="C33" s="29" t="str">
        <f>'[1]1 lentelė'!C28</f>
        <v>R099903-300000-1115</v>
      </c>
      <c r="D33" s="29" t="str">
        <f>'[1]1 lentelė'!D28</f>
        <v xml:space="preserve">Daugiabučių namų kvartalų Ignalinos mieste kompleksinis sutvarkymas </v>
      </c>
      <c r="E33" s="26" t="s">
        <v>685</v>
      </c>
      <c r="F33" s="26" t="s">
        <v>1384</v>
      </c>
      <c r="G33" s="26">
        <v>8290.23</v>
      </c>
      <c r="H33" s="26"/>
      <c r="I33" s="26"/>
      <c r="J33" s="23"/>
      <c r="K33" s="31"/>
      <c r="L33" s="23"/>
      <c r="M33" s="31"/>
      <c r="N33" s="31"/>
      <c r="O33" s="31"/>
      <c r="P33" s="23"/>
      <c r="Q33" s="48"/>
      <c r="R33" s="48"/>
      <c r="S33" s="48"/>
      <c r="T33" s="48"/>
      <c r="U33" s="48"/>
      <c r="V33" s="48"/>
      <c r="W33" s="6">
        <f>SUMIF(Q:Q,"P.N.507",S:S)</f>
        <v>0</v>
      </c>
      <c r="X33" s="32">
        <f t="shared" si="0"/>
        <v>0</v>
      </c>
    </row>
    <row r="34" spans="2:29" ht="104.25" hidden="1" customHeight="1" x14ac:dyDescent="0.25">
      <c r="B34" s="29" t="str">
        <f>'[1]1 lentelė'!B29</f>
        <v>1.1.1.2.2</v>
      </c>
      <c r="C34" s="29" t="str">
        <f>'[1]1 lentelė'!C29</f>
        <v>R099902-310000-1116</v>
      </c>
      <c r="D34" s="29" t="str">
        <f>'[1]1 lentelė'!D29</f>
        <v xml:space="preserve">Apleistų/avarinių pastatų nugriovimas ir teritorijos valymas, regeneruojant buvusį karinį miestelį </v>
      </c>
      <c r="E34" s="26" t="s">
        <v>685</v>
      </c>
      <c r="F34" s="26" t="s">
        <v>1384</v>
      </c>
      <c r="G34" s="26">
        <v>88445</v>
      </c>
      <c r="H34" s="26" t="s">
        <v>687</v>
      </c>
      <c r="I34" s="26" t="s">
        <v>700</v>
      </c>
      <c r="J34" s="26">
        <v>800</v>
      </c>
      <c r="K34" s="31"/>
      <c r="L34" s="23"/>
      <c r="M34" s="31"/>
      <c r="N34" s="31"/>
      <c r="O34" s="31"/>
      <c r="P34" s="23"/>
      <c r="Q34" s="48"/>
      <c r="R34" s="48"/>
      <c r="S34" s="48"/>
      <c r="T34" s="48"/>
      <c r="U34" s="48"/>
      <c r="V34" s="48"/>
      <c r="W34" s="6">
        <f>SUMIF(Q:Q,"P.N.508",S:S)</f>
        <v>0</v>
      </c>
      <c r="X34" s="32">
        <f t="shared" si="0"/>
        <v>0</v>
      </c>
    </row>
    <row r="35" spans="2:29" ht="65.25" hidden="1" customHeight="1" x14ac:dyDescent="0.25">
      <c r="B35" s="29" t="str">
        <f>'[1]1 lentelė'!B30</f>
        <v>1.1.1.2.3</v>
      </c>
      <c r="C35" s="29" t="str">
        <f>'[1]1 lentelė'!C30</f>
        <v>R099902-300000-1117</v>
      </c>
      <c r="D35" s="29" t="str">
        <f>'[1]1 lentelė'!D30</f>
        <v xml:space="preserve">Dauniškio daugiabučių namų kvartalo teritorijos sutvarkymas </v>
      </c>
      <c r="E35" s="26" t="s">
        <v>685</v>
      </c>
      <c r="F35" s="26" t="s">
        <v>691</v>
      </c>
      <c r="G35" s="26">
        <v>55516.7</v>
      </c>
      <c r="H35" s="26"/>
      <c r="I35" s="26"/>
      <c r="J35" s="23"/>
      <c r="K35" s="31"/>
      <c r="L35" s="23"/>
      <c r="M35" s="31"/>
      <c r="N35" s="31"/>
      <c r="O35" s="31"/>
      <c r="P35" s="23"/>
      <c r="Q35" s="48"/>
      <c r="R35" s="48"/>
      <c r="S35" s="48"/>
      <c r="T35" s="48"/>
      <c r="U35" s="48"/>
      <c r="V35" s="48"/>
      <c r="W35" s="6">
        <f>SUMIF(Q:Q,"P.N.671",S:S)</f>
        <v>0</v>
      </c>
      <c r="X35" s="32">
        <f t="shared" si="0"/>
        <v>0</v>
      </c>
    </row>
    <row r="36" spans="2:29" ht="156" hidden="1" customHeight="1" x14ac:dyDescent="0.25">
      <c r="B36" s="20" t="str">
        <f>'[1]1 lentelė'!B31</f>
        <v xml:space="preserve">1.1.2 </v>
      </c>
      <c r="C36" s="20"/>
      <c r="D36" s="318"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6">
        <f>SUMIF(Q:Q,"P.N.717",S:S)</f>
        <v>0</v>
      </c>
      <c r="X36" s="32">
        <f t="shared" si="0"/>
        <v>0</v>
      </c>
    </row>
    <row r="37" spans="2:29" ht="69" hidden="1" customHeight="1" x14ac:dyDescent="0.2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6">
        <f>SUMIF(Q:Q,"P.N.722",S:S)</f>
        <v>0</v>
      </c>
      <c r="X37" s="32">
        <f t="shared" si="0"/>
        <v>0</v>
      </c>
    </row>
    <row r="38" spans="2:29" ht="106.5" hidden="1" customHeight="1" x14ac:dyDescent="0.2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702</v>
      </c>
      <c r="F38" s="26" t="s">
        <v>703</v>
      </c>
      <c r="G38" s="26">
        <v>43328.23</v>
      </c>
      <c r="H38" s="26" t="s">
        <v>704</v>
      </c>
      <c r="I38" s="26" t="s">
        <v>705</v>
      </c>
      <c r="J38" s="26">
        <v>84.82</v>
      </c>
      <c r="K38" s="26"/>
      <c r="L38" s="23"/>
      <c r="M38" s="23"/>
      <c r="N38" s="23"/>
      <c r="O38" s="23"/>
      <c r="P38" s="23"/>
      <c r="Q38" s="48"/>
      <c r="R38" s="48"/>
      <c r="S38" s="48"/>
      <c r="T38" s="48"/>
      <c r="U38" s="48"/>
      <c r="V38" s="48"/>
      <c r="X38" s="32"/>
    </row>
    <row r="39" spans="2:29" ht="181.5" hidden="1" customHeight="1" x14ac:dyDescent="0.2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29" ht="90" hidden="1" customHeight="1" x14ac:dyDescent="0.25">
      <c r="B40" s="44" t="str">
        <f>'[1]1 lentelė'!B35</f>
        <v xml:space="preserve">1.1.3.1 </v>
      </c>
      <c r="C40" s="44"/>
      <c r="D40" s="319"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29" ht="90" hidden="1" customHeight="1" x14ac:dyDescent="0.25">
      <c r="B41" s="26" t="str">
        <f>'1 lentelė'!B41</f>
        <v>1.1.3.1.-1.1.3.28</v>
      </c>
      <c r="C41" s="26"/>
      <c r="D41" s="323" t="str">
        <f>'1 lentelė'!D41</f>
        <v>Pagrindinės paslaugos ir kaimų atnaujinimas kaimo vietovėse</v>
      </c>
      <c r="E41" s="26"/>
      <c r="F41" s="26" t="s">
        <v>1466</v>
      </c>
      <c r="G41" s="26">
        <v>30</v>
      </c>
      <c r="H41" s="26"/>
      <c r="I41" s="26"/>
      <c r="J41" s="26"/>
      <c r="K41" s="26"/>
      <c r="L41" s="26"/>
      <c r="M41" s="26"/>
      <c r="N41" s="26"/>
      <c r="O41" s="26"/>
      <c r="P41" s="26"/>
      <c r="Q41" s="26"/>
      <c r="R41" s="26"/>
      <c r="S41" s="26"/>
      <c r="T41" s="26"/>
      <c r="U41" s="26"/>
      <c r="V41" s="26"/>
      <c r="X41" s="32"/>
    </row>
    <row r="42" spans="2:29" ht="105.75" hidden="1" customHeight="1" x14ac:dyDescent="0.25">
      <c r="B42" s="44" t="str">
        <f>'[1]1 lentelė'!B36</f>
        <v>1.1.3.2</v>
      </c>
      <c r="C42" s="44"/>
      <c r="D42" s="319"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29" ht="102" hidden="1" x14ac:dyDescent="0.2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29" ht="66" hidden="1" customHeight="1" x14ac:dyDescent="0.2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29" ht="40.5" hidden="1" customHeight="1" x14ac:dyDescent="0.2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X45" s="32"/>
    </row>
    <row r="46" spans="2:29" ht="78" hidden="1" customHeight="1" x14ac:dyDescent="0.25">
      <c r="B46" s="29" t="str">
        <f>'[1]1 lentelė'!B40</f>
        <v>1.2.1.1.1</v>
      </c>
      <c r="C46" s="29" t="str">
        <f>'[1]1 lentelė'!C40</f>
        <v>R095511-110000-1201</v>
      </c>
      <c r="D46" s="29" t="str">
        <f>'[1]1 lentelė'!D40</f>
        <v>Gatvės Ignalinos miesto rekreacinėje zonoje tarp Gavio ežero ir Turistų gatvės įrengimas</v>
      </c>
      <c r="E46" s="26" t="s">
        <v>701</v>
      </c>
      <c r="F46" s="26" t="s">
        <v>710</v>
      </c>
      <c r="G46" s="47">
        <v>0.34699999999999998</v>
      </c>
      <c r="H46" s="26"/>
      <c r="I46" s="26"/>
      <c r="J46" s="26"/>
      <c r="K46" s="26"/>
      <c r="L46" s="23"/>
      <c r="M46" s="23"/>
      <c r="N46" s="23"/>
      <c r="O46" s="23"/>
      <c r="P46" s="23"/>
      <c r="Q46" s="48"/>
      <c r="R46" s="48"/>
      <c r="S46" s="48"/>
      <c r="T46" s="48"/>
      <c r="U46" s="48"/>
      <c r="V46" s="48"/>
      <c r="X46" s="32"/>
    </row>
    <row r="47" spans="2:29" ht="114.75" hidden="1" x14ac:dyDescent="0.25">
      <c r="B47" s="29" t="str">
        <f>'[1]1 lentelė'!B41</f>
        <v xml:space="preserve">1.2.1.1.2 </v>
      </c>
      <c r="C47" s="29" t="str">
        <f>'[1]1 lentelė'!C41</f>
        <v>R095511-120000-1202</v>
      </c>
      <c r="D47" s="29" t="str">
        <f>'[1]1 lentelė'!D41</f>
        <v>Zarasų gatvės rekonstrukcija Zarasų mieste</v>
      </c>
      <c r="E47" s="26" t="s">
        <v>690</v>
      </c>
      <c r="F47" s="26" t="s">
        <v>712</v>
      </c>
      <c r="G47" s="26">
        <v>0.13</v>
      </c>
      <c r="H47" s="320"/>
      <c r="I47" s="320"/>
      <c r="J47" s="320"/>
      <c r="K47" s="26"/>
      <c r="L47" s="23"/>
      <c r="M47" s="23"/>
      <c r="N47" s="23"/>
      <c r="O47" s="23"/>
      <c r="P47" s="23"/>
      <c r="Q47" s="48"/>
      <c r="R47" s="48"/>
      <c r="S47" s="48"/>
      <c r="T47" s="48"/>
      <c r="U47" s="48"/>
      <c r="V47" s="48"/>
      <c r="X47" s="345" t="s">
        <v>690</v>
      </c>
      <c r="Y47" s="345" t="s">
        <v>712</v>
      </c>
      <c r="Z47" s="345">
        <v>0.125</v>
      </c>
      <c r="AA47" s="345" t="s">
        <v>713</v>
      </c>
      <c r="AB47" s="345" t="s">
        <v>714</v>
      </c>
      <c r="AC47" s="345">
        <v>1</v>
      </c>
    </row>
    <row r="48" spans="2:29" ht="141.75" hidden="1" customHeight="1" x14ac:dyDescent="0.2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690</v>
      </c>
      <c r="F48" s="26" t="s">
        <v>712</v>
      </c>
      <c r="G48" s="47">
        <v>1.0089999999999999</v>
      </c>
      <c r="H48" s="26" t="s">
        <v>713</v>
      </c>
      <c r="I48" s="26" t="s">
        <v>714</v>
      </c>
      <c r="J48" s="26">
        <v>4</v>
      </c>
      <c r="K48" s="26" t="s">
        <v>701</v>
      </c>
      <c r="L48" s="26" t="s">
        <v>710</v>
      </c>
      <c r="M48" s="47">
        <v>0.23599999999999999</v>
      </c>
      <c r="N48" s="48"/>
      <c r="O48" s="48"/>
      <c r="P48" s="48"/>
      <c r="Q48" s="48"/>
      <c r="R48" s="48"/>
      <c r="S48" s="48"/>
      <c r="T48" s="48"/>
      <c r="U48" s="48"/>
      <c r="V48" s="48"/>
      <c r="X48" s="32"/>
    </row>
    <row r="49" spans="2:27" ht="95.25" hidden="1" customHeight="1" x14ac:dyDescent="0.25">
      <c r="B49" s="29" t="str">
        <f>'[1]1 lentelė'!B43</f>
        <v>1.2.1.1.4</v>
      </c>
      <c r="C49" s="29" t="str">
        <f>'[1]1 lentelė'!C43</f>
        <v>R095511-120000-1204</v>
      </c>
      <c r="D49" s="29" t="str">
        <f>'[1]1 lentelė'!D43</f>
        <v>Gyvenamosios aplinkos pasiekiamumo gerinimas Zarasų mieste rekonstruojant K. Donelaičio gatvę</v>
      </c>
      <c r="E49" s="26" t="s">
        <v>690</v>
      </c>
      <c r="F49" s="26" t="s">
        <v>712</v>
      </c>
      <c r="G49" s="26">
        <v>1.23</v>
      </c>
      <c r="H49" s="26" t="s">
        <v>713</v>
      </c>
      <c r="I49" s="26" t="s">
        <v>714</v>
      </c>
      <c r="J49" s="26">
        <v>1</v>
      </c>
      <c r="K49" s="26"/>
      <c r="L49" s="26"/>
      <c r="M49" s="26"/>
      <c r="N49" s="23"/>
      <c r="O49" s="23"/>
      <c r="P49" s="23"/>
      <c r="Q49" s="48"/>
      <c r="R49" s="48"/>
      <c r="S49" s="48"/>
      <c r="T49" s="48"/>
      <c r="U49" s="48"/>
      <c r="V49" s="48"/>
      <c r="X49" s="32"/>
    </row>
    <row r="50" spans="2:27" ht="78.75" hidden="1" customHeight="1" x14ac:dyDescent="0.25">
      <c r="B50" s="29" t="str">
        <f>'[1]1 lentelė'!B44</f>
        <v>1.2.1.1.5</v>
      </c>
      <c r="C50" s="29" t="str">
        <f>'[1]1 lentelė'!C44</f>
        <v>R095511-120000-1205</v>
      </c>
      <c r="D50" s="29" t="str">
        <f>'[1]1 lentelė'!D44</f>
        <v xml:space="preserve">Molėtų miesto Pastovio g., Siesarties g. ir S. Nėries g. rekonstrukcija </v>
      </c>
      <c r="E50" s="26" t="s">
        <v>690</v>
      </c>
      <c r="F50" s="26" t="s">
        <v>712</v>
      </c>
      <c r="G50" s="26">
        <v>0.71</v>
      </c>
      <c r="H50" s="26" t="s">
        <v>713</v>
      </c>
      <c r="I50" s="26" t="s">
        <v>714</v>
      </c>
      <c r="J50" s="26">
        <v>1</v>
      </c>
      <c r="K50" s="26"/>
      <c r="L50" s="26"/>
      <c r="M50" s="26"/>
      <c r="N50" s="23"/>
      <c r="O50" s="23"/>
      <c r="P50" s="23"/>
      <c r="Q50" s="48"/>
      <c r="R50" s="48"/>
      <c r="S50" s="48"/>
      <c r="T50" s="48"/>
      <c r="U50" s="48"/>
      <c r="V50" s="48"/>
      <c r="X50" s="32"/>
    </row>
    <row r="51" spans="2:27" ht="100.5" hidden="1" customHeight="1" x14ac:dyDescent="0.2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690</v>
      </c>
      <c r="F51" s="26" t="s">
        <v>712</v>
      </c>
      <c r="G51" s="26">
        <v>0.76</v>
      </c>
      <c r="H51" s="26" t="s">
        <v>713</v>
      </c>
      <c r="I51" s="26" t="s">
        <v>714</v>
      </c>
      <c r="J51" s="26">
        <v>1</v>
      </c>
      <c r="K51" s="26"/>
      <c r="L51" s="23"/>
      <c r="M51" s="23"/>
      <c r="N51" s="23"/>
      <c r="O51" s="23"/>
      <c r="P51" s="23"/>
      <c r="Q51" s="48"/>
      <c r="R51" s="48"/>
      <c r="S51" s="48"/>
      <c r="T51" s="48"/>
      <c r="U51" s="48"/>
      <c r="V51" s="48"/>
      <c r="X51" s="32"/>
    </row>
    <row r="52" spans="2:27" ht="80.25" hidden="1" customHeight="1" x14ac:dyDescent="0.25">
      <c r="B52" s="29" t="str">
        <f>'[1]1 lentelė'!B46</f>
        <v>1.2.1.1.7</v>
      </c>
      <c r="C52" s="29" t="str">
        <f>'[1]1 lentelė'!C46</f>
        <v>R095511-120000-1207</v>
      </c>
      <c r="D52" s="29" t="str">
        <f>'[1]1 lentelė'!D46</f>
        <v>Vietinės reikšmės kelio Visagino-Parko-Sedulinos al. kvartale rekonstravimas</v>
      </c>
      <c r="E52" s="26" t="s">
        <v>690</v>
      </c>
      <c r="F52" s="26" t="s">
        <v>1385</v>
      </c>
      <c r="G52" s="26">
        <v>1.36</v>
      </c>
      <c r="H52" s="26" t="s">
        <v>713</v>
      </c>
      <c r="I52" s="26" t="s">
        <v>714</v>
      </c>
      <c r="J52" s="26">
        <v>1</v>
      </c>
      <c r="K52" s="23"/>
      <c r="L52" s="23"/>
      <c r="M52" s="23"/>
      <c r="N52" s="23"/>
      <c r="O52" s="23"/>
      <c r="P52" s="23"/>
      <c r="Q52" s="48"/>
      <c r="R52" s="48"/>
      <c r="S52" s="48"/>
      <c r="T52" s="48"/>
      <c r="U52" s="48"/>
      <c r="V52" s="48"/>
      <c r="X52" s="32"/>
    </row>
    <row r="53" spans="2:27" ht="94.5" hidden="1" customHeight="1" x14ac:dyDescent="0.25">
      <c r="B53" s="29" t="str">
        <f>'[1]1 lentelė'!B47</f>
        <v>1.2.1.1.8</v>
      </c>
      <c r="C53" s="29" t="str">
        <f>'[1]1 lentelė'!C47</f>
        <v>R095511-120000-1208</v>
      </c>
      <c r="D53" s="29" t="str">
        <f>'[1]1 lentelė'!D47</f>
        <v>Gyvenamosios aplinkos pasiekiamumo gerinimas Zarasų mieste rekonstruojant E. Pliaterytės gatvę</v>
      </c>
      <c r="E53" s="26" t="s">
        <v>690</v>
      </c>
      <c r="F53" s="26" t="s">
        <v>712</v>
      </c>
      <c r="G53" s="26">
        <v>0.14000000000000001</v>
      </c>
      <c r="H53" s="26"/>
      <c r="I53" s="26"/>
      <c r="J53" s="26"/>
      <c r="K53" s="23"/>
      <c r="L53" s="23"/>
      <c r="M53" s="23"/>
      <c r="N53" s="23"/>
      <c r="O53" s="23"/>
      <c r="P53" s="23"/>
      <c r="Q53" s="48"/>
      <c r="R53" s="48"/>
      <c r="S53" s="48"/>
      <c r="T53" s="48"/>
      <c r="U53" s="48"/>
      <c r="V53" s="48"/>
      <c r="X53" s="32"/>
      <c r="Y53" s="6" t="s">
        <v>690</v>
      </c>
      <c r="Z53" s="6" t="s">
        <v>712</v>
      </c>
      <c r="AA53" s="6">
        <v>0.13800000000000001</v>
      </c>
    </row>
    <row r="54" spans="2:27" ht="118.5" hidden="1" customHeight="1" x14ac:dyDescent="0.25">
      <c r="B54" s="29" t="str">
        <f>'[1]1 lentelė'!B48</f>
        <v>1.2.1.1.9</v>
      </c>
      <c r="C54" s="29" t="str">
        <f>'[1]1 lentelė'!C48</f>
        <v>R095511-120000-1220</v>
      </c>
      <c r="D54" s="29" t="str">
        <f>'[1]1 lentelė'!D48</f>
        <v>Eismo sąlygų pagerinimas ir gyvenamosios aplinkos pasiekiamumo užtikrinimas, rekonstruojant Žvejų gatvę Anykščių mieste</v>
      </c>
      <c r="E54" s="320"/>
      <c r="F54" s="320"/>
      <c r="G54" s="321"/>
      <c r="H54" s="26" t="s">
        <v>713</v>
      </c>
      <c r="I54" s="26" t="s">
        <v>714</v>
      </c>
      <c r="J54" s="26">
        <v>1</v>
      </c>
      <c r="K54" s="23"/>
      <c r="L54" s="23"/>
      <c r="M54" s="23"/>
      <c r="N54" s="23"/>
      <c r="O54" s="23"/>
      <c r="P54" s="23"/>
      <c r="Q54" s="48"/>
      <c r="R54" s="48"/>
      <c r="S54" s="48"/>
      <c r="T54" s="48"/>
      <c r="U54" s="48"/>
      <c r="V54" s="48"/>
      <c r="X54" s="32"/>
    </row>
    <row r="55" spans="2:27" ht="65.25" hidden="1" customHeight="1" x14ac:dyDescent="0.25">
      <c r="B55" s="29" t="str">
        <f>'[1]1 lentelė'!B49</f>
        <v>1.2.1.1.10</v>
      </c>
      <c r="C55" s="29" t="str">
        <f>'[1]1 lentelė'!C49</f>
        <v>R095511-120000-1221</v>
      </c>
      <c r="D55" s="29" t="str">
        <f>'[1]1 lentelė'!D49</f>
        <v>Ignalinos miesto Ligoninės gatvės dalies rekonstrukcija</v>
      </c>
      <c r="E55" s="23" t="s">
        <v>690</v>
      </c>
      <c r="F55" s="23" t="s">
        <v>712</v>
      </c>
      <c r="G55" s="49">
        <v>0.2</v>
      </c>
      <c r="H55" s="23"/>
      <c r="I55" s="23"/>
      <c r="J55" s="23"/>
      <c r="K55" s="23"/>
      <c r="L55" s="49"/>
      <c r="M55" s="23"/>
      <c r="N55" s="23"/>
      <c r="O55" s="23"/>
      <c r="P55" s="23"/>
      <c r="Q55" s="48"/>
      <c r="R55" s="48"/>
      <c r="S55" s="48"/>
      <c r="T55" s="48"/>
      <c r="U55" s="48"/>
      <c r="V55" s="48"/>
      <c r="X55" s="32"/>
    </row>
    <row r="56" spans="2:27" ht="79.5" hidden="1" customHeight="1" x14ac:dyDescent="0.25">
      <c r="B56" s="29" t="str">
        <f>'[1]1 lentelė'!B50</f>
        <v>1.2.1.1.11</v>
      </c>
      <c r="C56" s="29" t="str">
        <f>'[1]1 lentelė'!C50</f>
        <v>R095511-120000-1222</v>
      </c>
      <c r="D56" s="29" t="str">
        <f>'[1]1 lentelė'!D50</f>
        <v>Saugaus eismo priemonių diegimas Ignalinos rajono keliuose</v>
      </c>
      <c r="E56" s="23" t="s">
        <v>713</v>
      </c>
      <c r="F56" s="23" t="s">
        <v>714</v>
      </c>
      <c r="G56" s="23">
        <v>1</v>
      </c>
      <c r="H56" s="23"/>
      <c r="I56" s="23"/>
      <c r="J56" s="23"/>
      <c r="K56" s="23"/>
      <c r="L56" s="23"/>
      <c r="M56" s="23"/>
      <c r="N56" s="23"/>
      <c r="O56" s="23"/>
      <c r="P56" s="23"/>
      <c r="Q56" s="48"/>
      <c r="R56" s="48"/>
      <c r="S56" s="48"/>
      <c r="T56" s="48"/>
      <c r="U56" s="48"/>
      <c r="V56" s="48"/>
      <c r="X56" s="32"/>
    </row>
    <row r="57" spans="2:27" ht="75" hidden="1" customHeight="1" x14ac:dyDescent="0.25">
      <c r="B57" s="29" t="str">
        <f>'[1]1 lentelė'!B51</f>
        <v>1.2.1.1.12</v>
      </c>
      <c r="C57" s="29" t="str">
        <f>'[1]1 lentelė'!C51</f>
        <v>R095511-120000-1223</v>
      </c>
      <c r="D57" s="29" t="str">
        <f>'[1]1 lentelė'!D51</f>
        <v>Saugaus eismo priemonių diegimas Molėtų rajono  Giedraičių miestelyje</v>
      </c>
      <c r="E57" s="23" t="s">
        <v>713</v>
      </c>
      <c r="F57" s="23" t="s">
        <v>714</v>
      </c>
      <c r="G57" s="23">
        <v>1</v>
      </c>
      <c r="H57" s="23"/>
      <c r="I57" s="23"/>
      <c r="J57" s="23"/>
      <c r="K57" s="23"/>
      <c r="L57" s="23"/>
      <c r="M57" s="23"/>
      <c r="N57" s="23"/>
      <c r="O57" s="23"/>
      <c r="P57" s="23"/>
      <c r="Q57" s="48"/>
      <c r="R57" s="48"/>
      <c r="S57" s="48"/>
      <c r="T57" s="48"/>
      <c r="U57" s="48"/>
      <c r="V57" s="48"/>
      <c r="X57" s="32"/>
    </row>
    <row r="58" spans="2:27" s="27" customFormat="1" ht="76.5" hidden="1" x14ac:dyDescent="0.25">
      <c r="B58" s="29" t="str">
        <f>'[1]1 lentelė'!B52</f>
        <v>1.2.1.1.14</v>
      </c>
      <c r="C58" s="29" t="str">
        <f>'[1]1 lentelė'!C52</f>
        <v>R095511-120000-1225</v>
      </c>
      <c r="D58" s="29" t="str">
        <f>'[1]1 lentelė'!D52</f>
        <v>Saugaus eismo priemonių diegimas Žemaitės gatvėje Zarasų mieste</v>
      </c>
      <c r="E58" s="26" t="s">
        <v>713</v>
      </c>
      <c r="F58" s="26" t="s">
        <v>714</v>
      </c>
      <c r="G58" s="26">
        <v>1</v>
      </c>
      <c r="H58" s="26"/>
      <c r="I58" s="26"/>
      <c r="J58" s="26"/>
      <c r="K58" s="26"/>
      <c r="L58" s="26"/>
      <c r="M58" s="26"/>
      <c r="N58" s="26"/>
      <c r="O58" s="26"/>
      <c r="P58" s="26"/>
      <c r="Q58" s="65"/>
      <c r="R58" s="65"/>
      <c r="S58" s="65"/>
      <c r="T58" s="65"/>
      <c r="U58" s="65"/>
      <c r="V58" s="65"/>
      <c r="X58" s="346"/>
    </row>
    <row r="59" spans="2:27" ht="102" hidden="1" x14ac:dyDescent="0.25">
      <c r="B59" s="42" t="str">
        <f>'[1]1 lentelė'!B53</f>
        <v xml:space="preserve">1.2.2 </v>
      </c>
      <c r="C59" s="42"/>
      <c r="D59" s="42" t="str">
        <f>'[1]1 lentelė'!D53</f>
        <v>Uždavinys: Plėtoti  aplinką tausojančią ir eismo saugą didinančią infrastruktūrą ir priemones bei darnų judumą</v>
      </c>
      <c r="E59" s="42"/>
      <c r="F59" s="42"/>
      <c r="G59" s="43"/>
      <c r="H59" s="42"/>
      <c r="I59" s="42"/>
      <c r="J59" s="43"/>
      <c r="K59" s="42"/>
      <c r="L59" s="42"/>
      <c r="M59" s="43"/>
      <c r="N59" s="42"/>
      <c r="O59" s="42"/>
      <c r="P59" s="43"/>
      <c r="Q59" s="42"/>
      <c r="R59" s="42"/>
      <c r="S59" s="43"/>
      <c r="T59" s="42"/>
      <c r="U59" s="42"/>
      <c r="V59" s="43"/>
      <c r="X59" s="32"/>
    </row>
    <row r="60" spans="2:27" ht="67.5" hidden="1" x14ac:dyDescent="0.25">
      <c r="B60" s="44" t="str">
        <f>'[1]1 lentelė'!B54</f>
        <v>1.2.2.1</v>
      </c>
      <c r="C60" s="44"/>
      <c r="D60" s="76" t="str">
        <f>'[1]1 lentelė'!D54</f>
        <v>Priemonė: Pėsčiųjų ir dviračių takų rekonstrukcija ir plėtra</v>
      </c>
      <c r="E60" s="44"/>
      <c r="F60" s="44"/>
      <c r="G60" s="44"/>
      <c r="H60" s="44"/>
      <c r="I60" s="44"/>
      <c r="J60" s="44"/>
      <c r="K60" s="44"/>
      <c r="L60" s="44"/>
      <c r="M60" s="44"/>
      <c r="N60" s="44"/>
      <c r="O60" s="44"/>
      <c r="P60" s="44"/>
      <c r="Q60" s="44"/>
      <c r="R60" s="44"/>
      <c r="S60" s="44"/>
      <c r="T60" s="44"/>
      <c r="U60" s="44"/>
      <c r="V60" s="44"/>
      <c r="X60" s="32"/>
    </row>
    <row r="61" spans="2:27" ht="20.25" hidden="1" customHeight="1" x14ac:dyDescent="0.25">
      <c r="B61" s="36"/>
      <c r="C61" s="36"/>
      <c r="D61" s="36"/>
      <c r="E61" s="36"/>
      <c r="F61" s="36"/>
      <c r="G61" s="36"/>
      <c r="H61" s="23"/>
      <c r="I61" s="23"/>
      <c r="J61" s="23"/>
      <c r="K61" s="23"/>
      <c r="L61" s="23"/>
      <c r="M61" s="23"/>
      <c r="N61" s="23"/>
      <c r="O61" s="23"/>
      <c r="P61" s="23"/>
      <c r="Q61" s="48"/>
      <c r="R61" s="48"/>
      <c r="S61" s="48"/>
      <c r="T61" s="48"/>
      <c r="U61" s="48"/>
      <c r="V61" s="48"/>
      <c r="X61" s="32"/>
    </row>
    <row r="62" spans="2:27" ht="142.5" hidden="1" customHeight="1" x14ac:dyDescent="0.25">
      <c r="B62" s="29" t="str">
        <f>'[1]1 lentelė'!B56</f>
        <v>1.2.2.1.3</v>
      </c>
      <c r="C62" s="29" t="str">
        <f>'[1]1 lentelė'!C56</f>
        <v>R095516-190000-1210</v>
      </c>
      <c r="D62" s="29" t="str">
        <f>'[1]1 lentelė'!D56</f>
        <v>Dviračių ir pėsčiųjų takų tinklo palei Ąžuolų g. iki mokyklų komplekso plėtra didinant atskirų Molėtų miesto teritorijų tarpusavio integraciją</v>
      </c>
      <c r="E62" s="26" t="s">
        <v>707</v>
      </c>
      <c r="F62" s="26" t="s">
        <v>1386</v>
      </c>
      <c r="G62" s="26">
        <v>0.18</v>
      </c>
      <c r="H62" s="26" t="s">
        <v>708</v>
      </c>
      <c r="I62" s="26" t="s">
        <v>721</v>
      </c>
      <c r="J62" s="47">
        <v>0.81</v>
      </c>
      <c r="K62" s="23"/>
      <c r="L62" s="23"/>
      <c r="M62" s="23"/>
      <c r="N62" s="23"/>
      <c r="O62" s="23"/>
      <c r="P62" s="23"/>
      <c r="Q62" s="48"/>
      <c r="R62" s="48"/>
      <c r="S62" s="48"/>
      <c r="T62" s="48"/>
      <c r="U62" s="48"/>
      <c r="V62" s="48"/>
      <c r="X62" s="32"/>
    </row>
    <row r="63" spans="2:27" ht="106.5" hidden="1" customHeight="1" x14ac:dyDescent="0.25">
      <c r="B63" s="29" t="str">
        <f>'[1]1 lentelė'!B57</f>
        <v>1.2.2.1.4</v>
      </c>
      <c r="C63" s="29" t="str">
        <f>'[1]1 lentelė'!C57</f>
        <v>R095516-190000-1211</v>
      </c>
      <c r="D63" s="29" t="str">
        <f>'[1]1 lentelė'!D57</f>
        <v>Dviračių ir pėsčiųjų takų infrastruktūros Utenos mieste plėtra, siekiant pagerinti Pramonės rajono pasiekiamumą.</v>
      </c>
      <c r="E63" s="26" t="s">
        <v>708</v>
      </c>
      <c r="F63" s="26" t="s">
        <v>1387</v>
      </c>
      <c r="G63" s="47">
        <v>0.85</v>
      </c>
      <c r="H63" s="23"/>
      <c r="I63" s="23"/>
      <c r="J63" s="23"/>
      <c r="K63" s="23"/>
      <c r="L63" s="23"/>
      <c r="M63" s="23"/>
      <c r="N63" s="23"/>
      <c r="O63" s="23"/>
      <c r="P63" s="23"/>
      <c r="Q63" s="48"/>
      <c r="R63" s="48"/>
      <c r="S63" s="48"/>
      <c r="T63" s="48"/>
      <c r="U63" s="48"/>
      <c r="V63" s="48"/>
      <c r="X63" s="32"/>
    </row>
    <row r="64" spans="2:27" ht="90.75" hidden="1" customHeight="1" x14ac:dyDescent="0.25">
      <c r="B64" s="29" t="str">
        <f>'[1]1 lentelė'!B58</f>
        <v xml:space="preserve">1.2.2.1.5 </v>
      </c>
      <c r="C64" s="29" t="str">
        <f>'[1]1 lentelė'!C58</f>
        <v>R095516-190000-1212</v>
      </c>
      <c r="D64" s="29" t="str">
        <f>'[1]1 lentelė'!D58</f>
        <v xml:space="preserve">Pėsčiųjų ir dviračių takų plėtra Griežto ežero pakrantėje nuo Vytauto gatvės iki Griežto gatvės </v>
      </c>
      <c r="E64" s="23" t="s">
        <v>707</v>
      </c>
      <c r="F64" s="23" t="s">
        <v>720</v>
      </c>
      <c r="G64" s="26">
        <v>0.55000000000000004</v>
      </c>
      <c r="H64" s="23"/>
      <c r="I64" s="23"/>
      <c r="J64" s="23"/>
      <c r="K64" s="23"/>
      <c r="L64" s="23"/>
      <c r="M64" s="23"/>
      <c r="N64" s="23"/>
      <c r="O64" s="23"/>
      <c r="P64" s="23"/>
      <c r="Q64" s="48"/>
      <c r="R64" s="48"/>
      <c r="S64" s="48"/>
      <c r="T64" s="48"/>
      <c r="U64" s="48"/>
      <c r="V64" s="48"/>
      <c r="X64" s="32"/>
    </row>
    <row r="65" spans="2:25" ht="90.75" hidden="1" customHeight="1" x14ac:dyDescent="0.25">
      <c r="B65" s="29" t="str">
        <f>'[1]1 lentelė'!B59</f>
        <v>1.2.2.1.6</v>
      </c>
      <c r="C65" s="29" t="str">
        <f>'[1]1 lentelė'!C59</f>
        <v>R095516-190000-1213</v>
      </c>
      <c r="D65" s="29" t="str">
        <f>'[1]1 lentelė'!D59</f>
        <v xml:space="preserve">Pėsčiųjų takų tinklo plėtra Dusetose, Zarasų rajone </v>
      </c>
      <c r="E65" s="26" t="s">
        <v>708</v>
      </c>
      <c r="F65" s="26" t="s">
        <v>1388</v>
      </c>
      <c r="G65" s="26">
        <v>0.2</v>
      </c>
      <c r="H65" s="26"/>
      <c r="I65" s="23"/>
      <c r="J65" s="23"/>
      <c r="K65" s="23"/>
      <c r="L65" s="23"/>
      <c r="M65" s="23"/>
      <c r="N65" s="23"/>
      <c r="O65" s="23"/>
      <c r="P65" s="23"/>
      <c r="Q65" s="48"/>
      <c r="R65" s="48"/>
      <c r="S65" s="48"/>
      <c r="T65" s="48"/>
      <c r="U65" s="48"/>
      <c r="V65" s="48"/>
      <c r="X65" s="32"/>
    </row>
    <row r="66" spans="2:25" ht="104.25" hidden="1" customHeight="1" x14ac:dyDescent="0.25">
      <c r="B66" s="29" t="str">
        <f>'[1]1 lentelė'!B60</f>
        <v>1.2.2.1.7</v>
      </c>
      <c r="C66" s="29" t="str">
        <f>'[1]1 lentelė'!C60</f>
        <v>R095516-190000-1214</v>
      </c>
      <c r="D66" s="29" t="str">
        <f>'[1]1 lentelė'!D60</f>
        <v>Susisiekimo sąlygų gerinimas Molėtų mieste įrengiant pėsčiųjų takus tarp Ąžuolų ir Melioratorių gatvių</v>
      </c>
      <c r="E66" s="26" t="s">
        <v>707</v>
      </c>
      <c r="F66" s="26" t="s">
        <v>720</v>
      </c>
      <c r="G66" s="26">
        <v>0.54</v>
      </c>
      <c r="H66" s="26"/>
      <c r="I66" s="23"/>
      <c r="J66" s="23"/>
      <c r="K66" s="23"/>
      <c r="L66" s="23"/>
      <c r="M66" s="23"/>
      <c r="N66" s="23"/>
      <c r="O66" s="23"/>
      <c r="P66" s="23"/>
      <c r="Q66" s="48"/>
      <c r="R66" s="48"/>
      <c r="S66" s="48"/>
      <c r="T66" s="48"/>
      <c r="U66" s="48"/>
      <c r="V66" s="48"/>
      <c r="X66" s="32"/>
    </row>
    <row r="67" spans="2:25" ht="115.5" hidden="1" customHeight="1" x14ac:dyDescent="0.25">
      <c r="B67" s="29" t="str">
        <f>'1 lentelė'!B67</f>
        <v>1.2.2.1.8</v>
      </c>
      <c r="C67" s="29" t="str">
        <f>'1 lentelė'!C67</f>
        <v>R095516-190000-1218</v>
      </c>
      <c r="D67" s="29" t="str">
        <f>'1 lentelė'!D67</f>
        <v>Dviračių ir pėsčiųjų tako įrengimas Ignalinos mieste sodininkų bendriją sujungiant su esamu dviračių ir pėsčiųjų taku</v>
      </c>
      <c r="E67" s="26" t="s">
        <v>707</v>
      </c>
      <c r="F67" s="26" t="s">
        <v>720</v>
      </c>
      <c r="G67" s="26">
        <v>0.65</v>
      </c>
      <c r="H67" s="26"/>
      <c r="I67" s="23"/>
      <c r="J67" s="23"/>
      <c r="K67" s="23"/>
      <c r="L67" s="23"/>
      <c r="M67" s="23"/>
      <c r="N67" s="23"/>
      <c r="O67" s="23"/>
      <c r="P67" s="23"/>
      <c r="Q67" s="48"/>
      <c r="R67" s="48"/>
      <c r="S67" s="48"/>
      <c r="T67" s="48"/>
      <c r="U67" s="48"/>
      <c r="V67" s="48"/>
      <c r="X67" s="32"/>
    </row>
    <row r="68" spans="2:25" ht="51" hidden="1" x14ac:dyDescent="0.25">
      <c r="B68" s="44" t="str">
        <f>'[1]1 lentelė'!B61</f>
        <v>1.2.2.2</v>
      </c>
      <c r="C68" s="44"/>
      <c r="D68" s="44" t="str">
        <f>'[1]1 lentelė'!D61</f>
        <v>Priemonė: Darnaus judumo priemonių diegimas</v>
      </c>
      <c r="E68" s="44"/>
      <c r="F68" s="44"/>
      <c r="G68" s="44"/>
      <c r="H68" s="44"/>
      <c r="I68" s="44"/>
      <c r="J68" s="44"/>
      <c r="K68" s="44"/>
      <c r="L68" s="44"/>
      <c r="M68" s="44"/>
      <c r="N68" s="44"/>
      <c r="O68" s="44"/>
      <c r="P68" s="44"/>
      <c r="Q68" s="44"/>
      <c r="R68" s="44"/>
      <c r="S68" s="44"/>
      <c r="T68" s="44"/>
      <c r="U68" s="44"/>
      <c r="V68" s="44"/>
      <c r="X68" s="32"/>
    </row>
    <row r="69" spans="2:25" hidden="1" x14ac:dyDescent="0.25">
      <c r="B69" s="29"/>
      <c r="C69" s="29"/>
      <c r="D69" s="29"/>
      <c r="E69" s="23"/>
      <c r="F69" s="23"/>
      <c r="G69" s="23"/>
      <c r="H69" s="23"/>
      <c r="I69" s="23"/>
      <c r="J69" s="23"/>
      <c r="K69" s="23"/>
      <c r="L69" s="23"/>
      <c r="M69" s="23"/>
      <c r="N69" s="23"/>
      <c r="O69" s="23"/>
      <c r="P69" s="23"/>
      <c r="Q69" s="48"/>
      <c r="R69" s="48"/>
      <c r="S69" s="48"/>
      <c r="T69" s="48"/>
      <c r="U69" s="48"/>
      <c r="V69" s="48"/>
      <c r="X69" s="32"/>
    </row>
    <row r="70" spans="2:25" ht="54.75" hidden="1" customHeight="1" x14ac:dyDescent="0.25">
      <c r="B70" s="29" t="str">
        <f>'[1]1 lentelė'!B63</f>
        <v>1.2.2.2.2</v>
      </c>
      <c r="C70" s="29" t="str">
        <f>'[1]1 lentelė'!C63</f>
        <v>R095513-500000-1214</v>
      </c>
      <c r="D70" s="29" t="str">
        <f>'[1]1 lentelė'!D63</f>
        <v xml:space="preserve">Visagino miesto darnaus judumo plano parengimas </v>
      </c>
      <c r="E70" s="26" t="s">
        <v>699</v>
      </c>
      <c r="F70" s="26" t="s">
        <v>723</v>
      </c>
      <c r="G70" s="26">
        <v>1</v>
      </c>
      <c r="H70" s="26"/>
      <c r="I70" s="26"/>
      <c r="J70" s="26"/>
      <c r="K70" s="26"/>
      <c r="L70" s="26"/>
      <c r="M70" s="26"/>
      <c r="N70" s="26"/>
      <c r="O70" s="26"/>
      <c r="P70" s="26"/>
      <c r="Q70" s="48"/>
      <c r="R70" s="48"/>
      <c r="S70" s="48"/>
      <c r="T70" s="48"/>
      <c r="U70" s="48"/>
      <c r="V70" s="48"/>
      <c r="X70" s="32"/>
    </row>
    <row r="71" spans="2:25" ht="57" hidden="1" customHeight="1" x14ac:dyDescent="0.25">
      <c r="B71" s="29" t="str">
        <f>'[1]1 lentelė'!B64</f>
        <v>1.2.2.2.3</v>
      </c>
      <c r="C71" s="29" t="str">
        <f>'[1]1 lentelė'!C64</f>
        <v>R095514-190000-1215</v>
      </c>
      <c r="D71" s="29" t="str">
        <f>'[1]1 lentelė'!D64</f>
        <v>Darnaus judumo infrastruktūros įrengimas Visagino mieste</v>
      </c>
      <c r="E71" s="26" t="s">
        <v>709</v>
      </c>
      <c r="F71" s="26" t="s">
        <v>724</v>
      </c>
      <c r="G71" s="26">
        <v>9</v>
      </c>
      <c r="H71" s="26"/>
      <c r="I71" s="26"/>
      <c r="J71" s="26"/>
      <c r="K71" s="26"/>
      <c r="L71" s="26"/>
      <c r="M71" s="26"/>
      <c r="N71" s="26"/>
      <c r="O71" s="26"/>
      <c r="P71" s="26"/>
      <c r="Q71" s="48"/>
      <c r="R71" s="48"/>
      <c r="S71" s="48"/>
      <c r="T71" s="48"/>
      <c r="U71" s="48"/>
      <c r="V71" s="48"/>
      <c r="X71" s="347"/>
    </row>
    <row r="72" spans="2:25" ht="52.5" hidden="1" customHeight="1" x14ac:dyDescent="0.25">
      <c r="B72" s="29" t="str">
        <f>'[1]1 lentelė'!B65</f>
        <v>1.2.2.2.4</v>
      </c>
      <c r="C72" s="29" t="str">
        <f>'[1]1 lentelė'!C65</f>
        <v>R095513-500000-1216</v>
      </c>
      <c r="D72" s="29" t="str">
        <f>'[1]1 lentelė'!D65</f>
        <v>Darnaus judumo Utenos mieste plano rengimas</v>
      </c>
      <c r="E72" s="26" t="s">
        <v>699</v>
      </c>
      <c r="F72" s="26" t="s">
        <v>723</v>
      </c>
      <c r="G72" s="26">
        <v>1</v>
      </c>
      <c r="H72" s="26"/>
      <c r="I72" s="26"/>
      <c r="J72" s="26"/>
      <c r="K72" s="26"/>
      <c r="L72" s="26"/>
      <c r="M72" s="26"/>
      <c r="N72" s="26"/>
      <c r="O72" s="26"/>
      <c r="P72" s="26"/>
      <c r="Q72" s="48"/>
      <c r="R72" s="48"/>
      <c r="S72" s="48"/>
      <c r="T72" s="48"/>
      <c r="U72" s="48"/>
      <c r="V72" s="48"/>
      <c r="X72" s="32"/>
    </row>
    <row r="73" spans="2:25" ht="67.5" hidden="1" customHeight="1" x14ac:dyDescent="0.25">
      <c r="B73" s="29" t="s">
        <v>257</v>
      </c>
      <c r="C73" s="29" t="s">
        <v>1195</v>
      </c>
      <c r="D73" s="29" t="s">
        <v>1196</v>
      </c>
      <c r="E73" s="26" t="s">
        <v>709</v>
      </c>
      <c r="F73" s="26" t="s">
        <v>724</v>
      </c>
      <c r="G73" s="26">
        <v>1</v>
      </c>
      <c r="H73" s="26"/>
      <c r="I73" s="26"/>
      <c r="J73" s="26"/>
      <c r="K73" s="26"/>
      <c r="L73" s="26"/>
      <c r="M73" s="26"/>
      <c r="N73" s="26"/>
      <c r="O73" s="26"/>
      <c r="P73" s="26"/>
      <c r="Q73" s="65"/>
      <c r="R73" s="65"/>
      <c r="S73" s="65"/>
      <c r="T73" s="65"/>
      <c r="U73" s="65"/>
      <c r="V73" s="65"/>
      <c r="W73" s="27"/>
      <c r="X73" s="346"/>
      <c r="Y73" s="27"/>
    </row>
    <row r="74" spans="2:25" ht="109.5" hidden="1" customHeight="1" x14ac:dyDescent="0.25">
      <c r="B74" s="44" t="str">
        <f>'[1]1 lentelė'!B67</f>
        <v>1.2.2.3</v>
      </c>
      <c r="C74" s="44"/>
      <c r="D74" s="76" t="str">
        <f>'[1]1 lentelė'!D67</f>
        <v>Priemonė: Vietinio susisiekimo viešojo transporto priemonių parko atnaujinimas</v>
      </c>
      <c r="E74" s="44"/>
      <c r="F74" s="44"/>
      <c r="G74" s="44"/>
      <c r="H74" s="44"/>
      <c r="I74" s="44"/>
      <c r="J74" s="44"/>
      <c r="K74" s="44"/>
      <c r="L74" s="44"/>
      <c r="M74" s="44"/>
      <c r="N74" s="44"/>
      <c r="O74" s="44"/>
      <c r="P74" s="44"/>
      <c r="Q74" s="44"/>
      <c r="R74" s="44"/>
      <c r="S74" s="44"/>
      <c r="T74" s="44"/>
      <c r="U74" s="44"/>
      <c r="V74" s="44"/>
      <c r="X74" s="32"/>
    </row>
    <row r="75" spans="2:25" ht="93" hidden="1" customHeight="1" x14ac:dyDescent="0.25">
      <c r="B75" s="29" t="str">
        <f>'[1]1 lentelė'!B69</f>
        <v>1.2.2.3.3</v>
      </c>
      <c r="C75" s="29" t="str">
        <f>'[1]1 lentelė'!C69</f>
        <v>R095518-100000-1219</v>
      </c>
      <c r="D75" s="29" t="str">
        <f>'[1]1 lentelė'!D69</f>
        <v>Utenos rajono vietinio susisiekimo viešojo transporto priemonių parko atnaujinimas</v>
      </c>
      <c r="E75" s="26" t="s">
        <v>711</v>
      </c>
      <c r="F75" s="26" t="s">
        <v>727</v>
      </c>
      <c r="G75" s="26">
        <v>4</v>
      </c>
      <c r="H75" s="26"/>
      <c r="I75" s="26"/>
      <c r="J75" s="26"/>
      <c r="K75" s="26"/>
      <c r="L75" s="26"/>
      <c r="M75" s="26"/>
      <c r="N75" s="26"/>
      <c r="O75" s="26"/>
      <c r="P75" s="26"/>
      <c r="Q75" s="65"/>
      <c r="R75" s="65"/>
      <c r="S75" s="65"/>
      <c r="T75" s="65"/>
      <c r="U75" s="65"/>
      <c r="V75" s="65"/>
      <c r="W75" s="27"/>
      <c r="X75" s="346"/>
      <c r="Y75" s="27"/>
    </row>
    <row r="76" spans="2:25" ht="42" hidden="1" customHeight="1" x14ac:dyDescent="0.25">
      <c r="B76" s="73" t="str">
        <f>'[1]1 lentelė'!B70</f>
        <v>2.</v>
      </c>
      <c r="C76" s="73"/>
      <c r="D76" s="73" t="str">
        <f>'[1]1 lentelė'!D70</f>
        <v>Prioritetas: Integrali ekonomika</v>
      </c>
      <c r="E76" s="57"/>
      <c r="F76" s="57"/>
      <c r="G76" s="57"/>
      <c r="H76" s="57"/>
      <c r="I76" s="57"/>
      <c r="J76" s="57"/>
      <c r="K76" s="57"/>
      <c r="L76" s="57"/>
      <c r="M76" s="57"/>
      <c r="N76" s="57"/>
      <c r="O76" s="57"/>
      <c r="P76" s="57"/>
      <c r="Q76" s="57"/>
      <c r="R76" s="57"/>
      <c r="S76" s="57"/>
      <c r="T76" s="57"/>
      <c r="U76" s="57"/>
      <c r="V76" s="57"/>
      <c r="X76" s="32"/>
    </row>
    <row r="77" spans="2:25" ht="76.5" hidden="1" customHeight="1" x14ac:dyDescent="0.25">
      <c r="B77" s="46" t="str">
        <f>'[1]1 lentelė'!B71</f>
        <v xml:space="preserve">2.1 </v>
      </c>
      <c r="C77" s="46"/>
      <c r="D77" s="46" t="str">
        <f>'[1]1 lentelė'!D71</f>
        <v>Tikslas: Turizmo infrastruktūros, kultūros ir gamtos paveldo plėtra</v>
      </c>
      <c r="E77" s="46"/>
      <c r="F77" s="45"/>
      <c r="G77" s="46"/>
      <c r="H77" s="46"/>
      <c r="I77" s="45"/>
      <c r="J77" s="46"/>
      <c r="K77" s="45"/>
      <c r="L77" s="46"/>
      <c r="M77" s="46"/>
      <c r="N77" s="45"/>
      <c r="O77" s="46"/>
      <c r="P77" s="45"/>
      <c r="Q77" s="45"/>
      <c r="R77" s="46"/>
      <c r="S77" s="46"/>
      <c r="T77" s="45"/>
      <c r="U77" s="46"/>
      <c r="V77" s="45"/>
    </row>
    <row r="78" spans="2:25" ht="66.75" hidden="1" customHeight="1" x14ac:dyDescent="0.25">
      <c r="B78" s="42" t="str">
        <f>'[1]1 lentelė'!B72</f>
        <v xml:space="preserve">2.1.1 </v>
      </c>
      <c r="C78" s="42"/>
      <c r="D78" s="42" t="str">
        <f>'[1]1 lentelė'!D72</f>
        <v>Uždavinys: Sutvarkyti ir aktualizuoti kultūros paveldo plėtrą</v>
      </c>
      <c r="E78" s="42"/>
      <c r="F78" s="43"/>
      <c r="G78" s="43"/>
      <c r="H78" s="42"/>
      <c r="I78" s="42"/>
      <c r="J78" s="43"/>
      <c r="K78" s="43"/>
      <c r="L78" s="42"/>
      <c r="M78" s="42"/>
      <c r="N78" s="43"/>
      <c r="O78" s="43"/>
      <c r="P78" s="42"/>
      <c r="Q78" s="43"/>
      <c r="R78" s="42"/>
      <c r="S78" s="42"/>
      <c r="T78" s="43"/>
      <c r="U78" s="43"/>
      <c r="V78" s="42"/>
    </row>
    <row r="79" spans="2:25" ht="81" hidden="1" customHeight="1" x14ac:dyDescent="0.25">
      <c r="B79" s="44" t="str">
        <f>'[1]1 lentelė'!B73</f>
        <v>2.1.1.1</v>
      </c>
      <c r="C79" s="44"/>
      <c r="D79" s="76" t="str">
        <f>'[1]1 lentelė'!D73</f>
        <v>Priemonė: Aktualizuoti savivaldybių kultūros paveldo objektus</v>
      </c>
      <c r="E79" s="44"/>
      <c r="F79" s="44"/>
      <c r="G79" s="44"/>
      <c r="H79" s="44"/>
      <c r="I79" s="44"/>
      <c r="J79" s="44"/>
      <c r="K79" s="44"/>
      <c r="L79" s="44"/>
      <c r="M79" s="44"/>
      <c r="N79" s="44"/>
      <c r="O79" s="44"/>
      <c r="P79" s="44"/>
      <c r="Q79" s="44"/>
      <c r="R79" s="44"/>
      <c r="S79" s="44"/>
      <c r="T79" s="44"/>
      <c r="U79" s="44"/>
      <c r="V79" s="44"/>
    </row>
    <row r="80" spans="2:25" ht="153" hidden="1" x14ac:dyDescent="0.25">
      <c r="B80" s="29" t="str">
        <f>'[1]1 lentelė'!B74</f>
        <v>2.1.1.1.1</v>
      </c>
      <c r="C80" s="29" t="str">
        <f>'[1]1 lentelė'!C74</f>
        <v>R093302-442942-2101</v>
      </c>
      <c r="D80" s="29" t="str">
        <f>'[1]1 lentelė'!D74</f>
        <v xml:space="preserve">Kompleksinis Okuličiūtės dvarelio Anykščiuose sutvarkymas ir pritaikymas kultūrinei, meninei veiklai </v>
      </c>
      <c r="E80" s="26" t="s">
        <v>718</v>
      </c>
      <c r="F80" s="26" t="s">
        <v>728</v>
      </c>
      <c r="G80" s="26">
        <v>1</v>
      </c>
      <c r="H80" s="26" t="s">
        <v>689</v>
      </c>
      <c r="I80" s="26" t="s">
        <v>729</v>
      </c>
      <c r="J80" s="26">
        <v>1400</v>
      </c>
      <c r="K80" s="26"/>
      <c r="L80" s="26"/>
      <c r="M80" s="26"/>
      <c r="N80" s="26"/>
      <c r="O80" s="26"/>
      <c r="P80" s="26"/>
      <c r="Q80" s="48"/>
      <c r="R80" s="48"/>
      <c r="S80" s="48"/>
      <c r="T80" s="48"/>
      <c r="U80" s="48"/>
      <c r="V80" s="48"/>
    </row>
    <row r="81" spans="2:25" ht="153" hidden="1" x14ac:dyDescent="0.25">
      <c r="B81" s="29" t="str">
        <f>'[1]1 lentelė'!B75</f>
        <v xml:space="preserve">2.1.1.1.2 </v>
      </c>
      <c r="C81" s="29" t="str">
        <f>'[1]1 lentelė'!C75</f>
        <v>R093302-440000-2102</v>
      </c>
      <c r="D81" s="29" t="str">
        <f>'[1]1 lentelė'!D75</f>
        <v xml:space="preserve">Naujų kultūros paslaugų visuomenės kultūriniams poreikiams tenkinti sukūrimas Utenos meno mokykloje </v>
      </c>
      <c r="E81" s="26" t="s">
        <v>718</v>
      </c>
      <c r="F81" s="26" t="s">
        <v>728</v>
      </c>
      <c r="G81" s="26">
        <v>1</v>
      </c>
      <c r="H81" s="26" t="s">
        <v>689</v>
      </c>
      <c r="I81" s="26" t="s">
        <v>729</v>
      </c>
      <c r="J81" s="26">
        <v>2800</v>
      </c>
      <c r="K81" s="26"/>
      <c r="L81" s="26"/>
      <c r="M81" s="26"/>
      <c r="N81" s="26"/>
      <c r="O81" s="26"/>
      <c r="P81" s="26"/>
      <c r="Q81" s="48"/>
      <c r="R81" s="48"/>
      <c r="S81" s="48"/>
      <c r="T81" s="48"/>
      <c r="U81" s="48"/>
      <c r="V81" s="48"/>
    </row>
    <row r="82" spans="2:25" ht="157.5" hidden="1" customHeight="1" x14ac:dyDescent="0.25">
      <c r="B82" s="29" t="str">
        <f>'1 lentelė'!B82</f>
        <v>2.1.1.1.3</v>
      </c>
      <c r="C82" s="29" t="str">
        <f>'1 lentelė'!C82</f>
        <v>R093302-440000-2103</v>
      </c>
      <c r="D82" s="29" t="str">
        <f>'1 lentelė'!D82</f>
        <v>Atgailos kanauninkų vienuolyno namo kapitalinis remontas pritaikant amatų centro ir bendruomenės poreikiams</v>
      </c>
      <c r="E82" s="26" t="s">
        <v>718</v>
      </c>
      <c r="F82" s="26" t="s">
        <v>1389</v>
      </c>
      <c r="G82" s="26">
        <v>1</v>
      </c>
      <c r="H82" s="26" t="s">
        <v>689</v>
      </c>
      <c r="I82" s="26" t="s">
        <v>1390</v>
      </c>
      <c r="J82" s="26">
        <v>1500</v>
      </c>
      <c r="K82" s="26"/>
      <c r="L82" s="26"/>
      <c r="M82" s="26"/>
      <c r="N82" s="26"/>
      <c r="O82" s="26"/>
      <c r="P82" s="26"/>
      <c r="Q82" s="48"/>
      <c r="R82" s="48"/>
      <c r="S82" s="48"/>
      <c r="T82" s="48"/>
      <c r="U82" s="48"/>
      <c r="V82" s="48"/>
    </row>
    <row r="83" spans="2:25" ht="153" hidden="1" x14ac:dyDescent="0.25">
      <c r="B83" s="29" t="str">
        <f>'[1]1 lentelė'!B77</f>
        <v>2.1.1.1.4</v>
      </c>
      <c r="C83" s="29" t="str">
        <f>'[1]1 lentelė'!C77</f>
        <v>R093302-442942-2104</v>
      </c>
      <c r="D83" s="29" t="str">
        <f>'[1]1 lentelė'!D77</f>
        <v>Valstybės saugomo kultūros paveldo objekto – Antazavės dvaro aktualizavimas</v>
      </c>
      <c r="E83" s="26" t="s">
        <v>718</v>
      </c>
      <c r="F83" s="26" t="s">
        <v>728</v>
      </c>
      <c r="G83" s="26">
        <v>1</v>
      </c>
      <c r="H83" s="26" t="s">
        <v>689</v>
      </c>
      <c r="I83" s="26" t="s">
        <v>729</v>
      </c>
      <c r="J83" s="26">
        <v>2600</v>
      </c>
      <c r="K83" s="26"/>
      <c r="L83" s="26"/>
      <c r="M83" s="26"/>
      <c r="N83" s="26"/>
      <c r="O83" s="26"/>
      <c r="P83" s="26"/>
      <c r="Q83" s="48"/>
      <c r="R83" s="48"/>
      <c r="S83" s="48"/>
      <c r="T83" s="48"/>
      <c r="U83" s="48"/>
      <c r="V83" s="48"/>
    </row>
    <row r="84" spans="2:25" ht="66.75" hidden="1" customHeight="1" x14ac:dyDescent="0.25">
      <c r="B84" s="42" t="str">
        <f>'[1]1 lentelė'!B78</f>
        <v>2.1.2</v>
      </c>
      <c r="C84" s="42"/>
      <c r="D84" s="42" t="str">
        <f>'[1]1 lentelė'!D78</f>
        <v>Uždavinys: Plėtoti turizmo išteklių ir paslaugų rinkodarą</v>
      </c>
      <c r="E84" s="42"/>
      <c r="F84" s="42"/>
      <c r="G84" s="43"/>
      <c r="H84" s="42"/>
      <c r="I84" s="42"/>
      <c r="J84" s="43"/>
      <c r="K84" s="42"/>
      <c r="L84" s="42"/>
      <c r="M84" s="43"/>
      <c r="N84" s="42"/>
      <c r="O84" s="42"/>
      <c r="P84" s="43"/>
      <c r="Q84" s="42"/>
      <c r="R84" s="42"/>
      <c r="S84" s="43"/>
      <c r="T84" s="42"/>
      <c r="U84" s="42"/>
      <c r="V84" s="43"/>
    </row>
    <row r="85" spans="2:25" ht="109.5" customHeight="1" x14ac:dyDescent="0.25">
      <c r="B85" s="44" t="str">
        <f>'[1]1 lentelė'!B79</f>
        <v>2.1.2.1</v>
      </c>
      <c r="C85" s="44"/>
      <c r="D85" s="76" t="str">
        <f>'[1]1 lentelė'!D79</f>
        <v>Priemonė: Savivaldybes jungiančių turizmo trasų ir turizmo maršrutų informacinės infrastruktūros plėtra</v>
      </c>
      <c r="E85" s="44"/>
      <c r="F85" s="44"/>
      <c r="G85" s="44"/>
      <c r="H85" s="44"/>
      <c r="I85" s="44"/>
      <c r="J85" s="44"/>
      <c r="K85" s="44"/>
      <c r="L85" s="44"/>
      <c r="M85" s="44"/>
      <c r="N85" s="44"/>
      <c r="O85" s="44"/>
      <c r="P85" s="44"/>
      <c r="Q85" s="44"/>
      <c r="R85" s="44"/>
      <c r="S85" s="44"/>
      <c r="T85" s="44"/>
      <c r="U85" s="44"/>
      <c r="V85" s="44"/>
    </row>
    <row r="86" spans="2:25" ht="69" customHeight="1" x14ac:dyDescent="0.25">
      <c r="B86" s="29" t="str">
        <f>'[1]1 lentelė'!B81</f>
        <v xml:space="preserve">2.1.2.1.2 </v>
      </c>
      <c r="C86" s="29" t="str">
        <f>'[1]1 lentelė'!C81</f>
        <v>R098821-420000-2106</v>
      </c>
      <c r="D86" s="29" t="str">
        <f>'[1]1 lentelė'!D81</f>
        <v>Informacinės infrastruktūros plėtra Ignalinos, Molėtų ir Utenos rajonuose</v>
      </c>
      <c r="E86" s="26" t="s">
        <v>706</v>
      </c>
      <c r="F86" s="26" t="s">
        <v>730</v>
      </c>
      <c r="G86" s="26">
        <v>127</v>
      </c>
      <c r="H86" s="26"/>
      <c r="I86" s="26"/>
      <c r="J86" s="26"/>
      <c r="K86" s="26"/>
      <c r="L86" s="26"/>
      <c r="M86" s="26"/>
      <c r="N86" s="26"/>
      <c r="O86" s="26"/>
      <c r="P86" s="26"/>
      <c r="Q86" s="48"/>
      <c r="R86" s="48"/>
      <c r="S86" s="48"/>
      <c r="T86" s="48"/>
      <c r="U86" s="48"/>
      <c r="V86" s="48"/>
    </row>
    <row r="87" spans="2:25" s="27" customFormat="1" ht="69" customHeight="1" x14ac:dyDescent="0.25">
      <c r="B87" s="29" t="str">
        <f>'[1]1 lentelė'!B82</f>
        <v>2.1.2.1.3</v>
      </c>
      <c r="C87" s="29" t="str">
        <f>'[1]1 lentelė'!C82</f>
        <v>R098821-420000-2107</v>
      </c>
      <c r="D87" s="29" t="str">
        <f>'[1]1 lentelė'!D82</f>
        <v>Taktiliniai maketai turistui po atviru dangumi</v>
      </c>
      <c r="E87" s="26" t="s">
        <v>706</v>
      </c>
      <c r="F87" s="26" t="s">
        <v>730</v>
      </c>
      <c r="G87" s="26">
        <v>30</v>
      </c>
      <c r="H87" s="26"/>
      <c r="I87" s="26"/>
      <c r="J87" s="26"/>
      <c r="K87" s="26"/>
      <c r="L87" s="26"/>
      <c r="M87" s="26"/>
      <c r="N87" s="26"/>
      <c r="O87" s="26"/>
      <c r="P87" s="26"/>
      <c r="Q87" s="65"/>
      <c r="R87" s="65"/>
      <c r="S87" s="65"/>
      <c r="T87" s="65"/>
      <c r="U87" s="65"/>
      <c r="V87" s="65"/>
    </row>
    <row r="88" spans="2:25" ht="90.75" customHeight="1" x14ac:dyDescent="0.25">
      <c r="B88" s="29" t="s">
        <v>1202</v>
      </c>
      <c r="C88" s="29" t="s">
        <v>1203</v>
      </c>
      <c r="D88" s="26" t="s">
        <v>1204</v>
      </c>
      <c r="E88" s="26" t="s">
        <v>706</v>
      </c>
      <c r="F88" s="26" t="s">
        <v>730</v>
      </c>
      <c r="G88" s="26">
        <v>27</v>
      </c>
      <c r="H88" s="26"/>
      <c r="I88" s="26"/>
      <c r="J88" s="26"/>
      <c r="K88" s="26"/>
      <c r="L88" s="26"/>
      <c r="M88" s="26"/>
      <c r="N88" s="26"/>
      <c r="O88" s="26"/>
      <c r="P88" s="26"/>
      <c r="Q88" s="48"/>
      <c r="R88" s="48"/>
      <c r="S88" s="48"/>
      <c r="T88" s="48"/>
      <c r="U88" s="48"/>
      <c r="V88" s="48"/>
    </row>
    <row r="89" spans="2:25" ht="50.25" hidden="1" customHeight="1" x14ac:dyDescent="0.25">
      <c r="B89" s="46" t="str">
        <f>'[1]1 lentelė'!B84</f>
        <v>2.2</v>
      </c>
      <c r="C89" s="46"/>
      <c r="D89" s="46" t="str">
        <f>'[1]1 lentelė'!D84</f>
        <v>Tikslas; darnaus išteklių naudojimo skatinimas</v>
      </c>
      <c r="E89" s="46"/>
      <c r="F89" s="46"/>
      <c r="G89" s="46"/>
      <c r="H89" s="45"/>
      <c r="I89" s="46"/>
      <c r="J89" s="46"/>
      <c r="K89" s="46"/>
      <c r="L89" s="45"/>
      <c r="M89" s="46"/>
      <c r="N89" s="46"/>
      <c r="O89" s="46"/>
      <c r="P89" s="45"/>
      <c r="Q89" s="46"/>
      <c r="R89" s="45"/>
      <c r="S89" s="46"/>
      <c r="T89" s="46"/>
      <c r="U89" s="46"/>
      <c r="V89" s="45"/>
    </row>
    <row r="90" spans="2:25" ht="115.5" hidden="1" customHeight="1" x14ac:dyDescent="0.25">
      <c r="B90" s="42" t="str">
        <f>'[1]1 lentelė'!B85</f>
        <v>2.2.1</v>
      </c>
      <c r="C90" s="42"/>
      <c r="D90" s="42" t="str">
        <f>'[1]1 lentelė'!D85</f>
        <v>Uždavinys: Plėtoti tvarią šilumos energijos, vandens tiekimo, nuotekų šalinimo ir atliekų tvarkymo sistemą</v>
      </c>
      <c r="E90" s="42"/>
      <c r="F90" s="42"/>
      <c r="G90" s="43"/>
      <c r="H90" s="42"/>
      <c r="I90" s="42"/>
      <c r="J90" s="43"/>
      <c r="K90" s="42"/>
      <c r="L90" s="42"/>
      <c r="M90" s="43"/>
      <c r="N90" s="42"/>
      <c r="O90" s="42"/>
      <c r="P90" s="43"/>
      <c r="Q90" s="42"/>
      <c r="R90" s="42"/>
      <c r="S90" s="43"/>
      <c r="T90" s="42"/>
      <c r="U90" s="42"/>
      <c r="V90" s="43"/>
    </row>
    <row r="91" spans="2:25" ht="138.75" hidden="1" customHeight="1" x14ac:dyDescent="0.25">
      <c r="B91" s="44" t="str">
        <f>'[1]1 lentelė'!B86</f>
        <v>2.2.1.1</v>
      </c>
      <c r="C91" s="44"/>
      <c r="D91" s="76" t="str">
        <f>'[1]1 lentelė'!D86</f>
        <v>Priemonė: Geriamojo vandens tiekimo ir nuotekų tvarkymo sistemų renovavimas ir plėtra, įmonių valdymo tobulinimas</v>
      </c>
      <c r="E91" s="44"/>
      <c r="F91" s="44"/>
      <c r="G91" s="44"/>
      <c r="H91" s="44"/>
      <c r="I91" s="44"/>
      <c r="J91" s="44"/>
      <c r="K91" s="44"/>
      <c r="L91" s="44"/>
      <c r="M91" s="44"/>
      <c r="N91" s="44"/>
      <c r="O91" s="44"/>
      <c r="P91" s="44"/>
      <c r="Q91" s="44"/>
      <c r="R91" s="44"/>
      <c r="S91" s="44"/>
      <c r="T91" s="44"/>
      <c r="U91" s="44"/>
      <c r="V91" s="44"/>
    </row>
    <row r="92" spans="2:25" ht="178.5" hidden="1" x14ac:dyDescent="0.25">
      <c r="B92" s="29" t="str">
        <f>'[1]1 lentelė'!B87</f>
        <v>2.2.1.1.1</v>
      </c>
      <c r="C92" s="29" t="str">
        <f>'[1]1 lentelė'!C87</f>
        <v>R090014-060700-2201</v>
      </c>
      <c r="D92" s="29" t="str">
        <f>'[1]1 lentelė'!D87</f>
        <v xml:space="preserve">Vandens tiekimo ir nuotekų tvarkymo infrastruktūros plėtra Ignalinos rajone </v>
      </c>
      <c r="E92" s="26" t="s">
        <v>717</v>
      </c>
      <c r="F92" s="26" t="s">
        <v>731</v>
      </c>
      <c r="G92" s="26">
        <v>5.23</v>
      </c>
      <c r="H92" s="26" t="s">
        <v>693</v>
      </c>
      <c r="I92" s="26" t="s">
        <v>732</v>
      </c>
      <c r="J92" s="26">
        <v>16</v>
      </c>
      <c r="K92" s="26" t="s">
        <v>694</v>
      </c>
      <c r="L92" s="26" t="s">
        <v>733</v>
      </c>
      <c r="M92" s="26">
        <v>1298</v>
      </c>
      <c r="N92" s="26" t="s">
        <v>695</v>
      </c>
      <c r="O92" s="26" t="s">
        <v>734</v>
      </c>
      <c r="P92" s="26">
        <v>120</v>
      </c>
      <c r="Q92" s="26" t="s">
        <v>696</v>
      </c>
      <c r="R92" s="26" t="s">
        <v>735</v>
      </c>
      <c r="S92" s="26">
        <v>27</v>
      </c>
      <c r="T92" s="26" t="s">
        <v>736</v>
      </c>
      <c r="U92" s="26" t="s">
        <v>737</v>
      </c>
      <c r="V92" s="26">
        <v>1314</v>
      </c>
      <c r="W92" s="26" t="s">
        <v>738</v>
      </c>
      <c r="X92" s="26" t="s">
        <v>739</v>
      </c>
      <c r="Y92" s="26">
        <v>147</v>
      </c>
    </row>
    <row r="93" spans="2:25" ht="165.75" hidden="1" x14ac:dyDescent="0.25">
      <c r="B93" s="29" t="str">
        <f>'[1]1 lentelė'!B88</f>
        <v>2.2.1.1.2</v>
      </c>
      <c r="C93" s="29" t="str">
        <f>'[1]1 lentelė'!C88</f>
        <v>R090014-070000-2202</v>
      </c>
      <c r="D93" s="29" t="str">
        <f>'[1]1 lentelė'!D88</f>
        <v xml:space="preserve">Vandens tiekimo ir nuotekų tvarkymo infrastruktūros plėtra ir rekonstravimas Zarasų rajono savivaldybėje </v>
      </c>
      <c r="E93" s="26" t="s">
        <v>693</v>
      </c>
      <c r="F93" s="26" t="s">
        <v>732</v>
      </c>
      <c r="G93" s="26">
        <v>106</v>
      </c>
      <c r="H93" s="26" t="s">
        <v>695</v>
      </c>
      <c r="I93" s="26" t="s">
        <v>734</v>
      </c>
      <c r="J93" s="26">
        <v>358</v>
      </c>
      <c r="K93" s="26" t="s">
        <v>696</v>
      </c>
      <c r="L93" s="26" t="s">
        <v>1391</v>
      </c>
      <c r="M93" s="26">
        <v>42</v>
      </c>
      <c r="N93" s="26" t="s">
        <v>736</v>
      </c>
      <c r="O93" s="26" t="s">
        <v>737</v>
      </c>
      <c r="P93" s="26">
        <v>106</v>
      </c>
      <c r="Q93" s="26" t="s">
        <v>738</v>
      </c>
      <c r="R93" s="26" t="s">
        <v>739</v>
      </c>
      <c r="S93" s="26">
        <v>400</v>
      </c>
      <c r="T93" s="65"/>
      <c r="U93" s="65"/>
      <c r="V93" s="65"/>
      <c r="W93" s="27"/>
      <c r="X93" s="27"/>
      <c r="Y93" s="27"/>
    </row>
    <row r="94" spans="2:25" ht="89.25" hidden="1" x14ac:dyDescent="0.25">
      <c r="B94" s="29" t="str">
        <f>'[1]1 lentelė'!B89</f>
        <v>2.2.1.1.3</v>
      </c>
      <c r="C94" s="29" t="str">
        <f>'[1]1 lentelė'!C89</f>
        <v>R090014-060000-2203</v>
      </c>
      <c r="D94" s="29" t="str">
        <f>'[1]1 lentelė'!D89</f>
        <v xml:space="preserve">Vandens tiekimo ir nuotekų tinklų rekonstravimas Visagine </v>
      </c>
      <c r="E94" s="26" t="s">
        <v>717</v>
      </c>
      <c r="F94" s="26" t="s">
        <v>731</v>
      </c>
      <c r="G94" s="26">
        <v>19.37</v>
      </c>
      <c r="H94" s="26"/>
      <c r="I94" s="26"/>
      <c r="J94" s="26"/>
      <c r="K94" s="26"/>
      <c r="L94" s="26"/>
      <c r="M94" s="26"/>
      <c r="N94" s="26"/>
      <c r="O94" s="26"/>
      <c r="P94" s="26"/>
      <c r="Q94" s="65"/>
      <c r="R94" s="65"/>
      <c r="S94" s="65"/>
      <c r="T94" s="65"/>
      <c r="U94" s="65"/>
      <c r="V94" s="65"/>
      <c r="W94" s="27"/>
      <c r="X94" s="27"/>
      <c r="Y94" s="27"/>
    </row>
    <row r="95" spans="2:25" ht="165.75" hidden="1" x14ac:dyDescent="0.25">
      <c r="B95" s="29" t="str">
        <f>'[1]1 lentelė'!B90</f>
        <v>2.2.1.1.4</v>
      </c>
      <c r="C95" s="29" t="str">
        <f>'[1]1 lentelė'!C90</f>
        <v>R090014-070600-2204</v>
      </c>
      <c r="D95" s="29" t="str">
        <f>'[1]1 lentelė'!D90</f>
        <v>Vandens tiekimo ir nuotekų tvarkymo infrastruktūros plėtra ir rekonstrukcija Anykščių r. sav. Kurklių miestelyje</v>
      </c>
      <c r="E95" s="26" t="s">
        <v>693</v>
      </c>
      <c r="F95" s="26" t="s">
        <v>732</v>
      </c>
      <c r="G95" s="26">
        <v>328</v>
      </c>
      <c r="H95" s="26" t="s">
        <v>695</v>
      </c>
      <c r="I95" s="26" t="s">
        <v>734</v>
      </c>
      <c r="J95" s="26">
        <v>273</v>
      </c>
      <c r="K95" s="26" t="s">
        <v>696</v>
      </c>
      <c r="L95" s="26" t="s">
        <v>1391</v>
      </c>
      <c r="M95" s="26">
        <v>350</v>
      </c>
      <c r="N95" s="26" t="s">
        <v>717</v>
      </c>
      <c r="O95" s="26" t="s">
        <v>731</v>
      </c>
      <c r="P95" s="26">
        <v>0.31</v>
      </c>
      <c r="Q95" s="26" t="s">
        <v>736</v>
      </c>
      <c r="R95" s="26" t="s">
        <v>737</v>
      </c>
      <c r="S95" s="26">
        <v>328</v>
      </c>
      <c r="T95" s="26" t="s">
        <v>738</v>
      </c>
      <c r="U95" s="26" t="s">
        <v>739</v>
      </c>
      <c r="V95" s="26">
        <v>350</v>
      </c>
      <c r="W95" s="27"/>
      <c r="X95" s="27"/>
      <c r="Y95" s="27"/>
    </row>
    <row r="96" spans="2:25" ht="165.75" hidden="1" x14ac:dyDescent="0.25">
      <c r="B96" s="29" t="str">
        <f>'[1]1 lentelė'!B91</f>
        <v>2.2.1.1.5</v>
      </c>
      <c r="C96" s="29" t="str">
        <f>'[1]1 lentelė'!C91</f>
        <v>R090014-070600-2205</v>
      </c>
      <c r="D96" s="29" t="str">
        <f>'[1]1 lentelė'!D91</f>
        <v xml:space="preserve"> Vandens tiekimo ir nuotekų tvarkymo infrastruktūros plėtra ir rekonstrukcija Molėtų rajone </v>
      </c>
      <c r="E96" s="26" t="s">
        <v>693</v>
      </c>
      <c r="F96" s="26" t="s">
        <v>732</v>
      </c>
      <c r="G96" s="26">
        <v>20</v>
      </c>
      <c r="H96" s="26" t="s">
        <v>695</v>
      </c>
      <c r="I96" s="26" t="s">
        <v>734</v>
      </c>
      <c r="J96" s="26">
        <v>210</v>
      </c>
      <c r="K96" s="26" t="s">
        <v>696</v>
      </c>
      <c r="L96" s="26" t="s">
        <v>1391</v>
      </c>
      <c r="M96" s="26">
        <v>194</v>
      </c>
      <c r="N96" s="26" t="s">
        <v>717</v>
      </c>
      <c r="O96" s="26" t="s">
        <v>731</v>
      </c>
      <c r="P96" s="26">
        <v>2.4300000000000002</v>
      </c>
      <c r="Q96" s="26" t="s">
        <v>736</v>
      </c>
      <c r="R96" s="26" t="s">
        <v>737</v>
      </c>
      <c r="S96" s="26">
        <v>20</v>
      </c>
      <c r="T96" s="26" t="s">
        <v>738</v>
      </c>
      <c r="U96" s="26" t="s">
        <v>739</v>
      </c>
      <c r="V96" s="26">
        <v>404</v>
      </c>
      <c r="W96" s="27"/>
      <c r="X96" s="27"/>
      <c r="Y96" s="27"/>
    </row>
    <row r="97" spans="2:25" ht="140.25" hidden="1" x14ac:dyDescent="0.25">
      <c r="B97" s="29" t="str">
        <f>'[1]1 lentelė'!B92</f>
        <v>2.2.1.1.6</v>
      </c>
      <c r="C97" s="29" t="str">
        <f>'[1]1 lentelė'!C92</f>
        <v>R090014-075000-2206</v>
      </c>
      <c r="D97" s="29" t="str">
        <f>'[1]1 lentelė'!D92</f>
        <v>Vandens tiekimo ir nuotekų tvarkymo infrastruktūros plėtra Utenos rajone (Jasonių k.)</v>
      </c>
      <c r="E97" s="26" t="s">
        <v>693</v>
      </c>
      <c r="F97" s="26" t="s">
        <v>1392</v>
      </c>
      <c r="G97" s="26">
        <v>544</v>
      </c>
      <c r="H97" s="26" t="s">
        <v>695</v>
      </c>
      <c r="I97" s="26" t="s">
        <v>1393</v>
      </c>
      <c r="J97" s="26">
        <v>634</v>
      </c>
      <c r="K97" s="26" t="s">
        <v>736</v>
      </c>
      <c r="L97" s="26" t="s">
        <v>737</v>
      </c>
      <c r="M97" s="26">
        <v>544</v>
      </c>
      <c r="N97" s="26" t="s">
        <v>738</v>
      </c>
      <c r="O97" s="26" t="s">
        <v>739</v>
      </c>
      <c r="P97" s="26">
        <v>634</v>
      </c>
      <c r="Q97" s="65"/>
      <c r="R97" s="65"/>
      <c r="S97" s="65"/>
      <c r="T97" s="65"/>
      <c r="U97" s="65"/>
      <c r="V97" s="65"/>
      <c r="W97" s="27"/>
      <c r="X97" s="27"/>
      <c r="Y97" s="27"/>
    </row>
    <row r="98" spans="2:25" ht="104.25" hidden="1" customHeight="1" x14ac:dyDescent="0.25">
      <c r="B98" s="29" t="str">
        <f>'[1]1 lentelė'!B93</f>
        <v>2.2.1.1.7</v>
      </c>
      <c r="C98" s="29" t="str">
        <f>'[1]1 lentelė'!C93</f>
        <v>R090014-060000-2225</v>
      </c>
      <c r="D98" s="29" t="str">
        <f>'[1]1 lentelė'!D93</f>
        <v>Vandens tiekimo ir nuotekų tvarkymo infrastruktūros rekonstrukcija ir inventorizacija Ignalinos rajone</v>
      </c>
      <c r="E98" s="26" t="s">
        <v>717</v>
      </c>
      <c r="F98" s="26" t="s">
        <v>731</v>
      </c>
      <c r="G98" s="26">
        <v>0.95</v>
      </c>
      <c r="H98" s="26"/>
      <c r="I98" s="26"/>
      <c r="J98" s="26"/>
      <c r="K98" s="26"/>
      <c r="L98" s="26"/>
      <c r="M98" s="26"/>
      <c r="N98" s="26"/>
      <c r="O98" s="26"/>
      <c r="P98" s="26"/>
      <c r="Q98" s="65"/>
      <c r="R98" s="65"/>
      <c r="S98" s="65"/>
      <c r="T98" s="65"/>
      <c r="U98" s="65"/>
      <c r="V98" s="65"/>
      <c r="W98" s="27"/>
      <c r="X98" s="27"/>
      <c r="Y98" s="27"/>
    </row>
    <row r="99" spans="2:25" ht="165.75" hidden="1" x14ac:dyDescent="0.25">
      <c r="B99" s="29" t="str">
        <f>'[1]1 lentelė'!B94</f>
        <v>2.2.1.1.8</v>
      </c>
      <c r="C99" s="29" t="str">
        <f>'[1]1 lentelė'!C94</f>
        <v>R090014-075000-2226</v>
      </c>
      <c r="D99" s="29" t="str">
        <f>'[1]1 lentelė'!D94</f>
        <v>Vandens tiekimo ir nuotekų tvarkymo infrastruktūros plėtra Utenos rajone (Jasonių k. II etapas)</v>
      </c>
      <c r="E99" s="26" t="s">
        <v>693</v>
      </c>
      <c r="F99" s="26" t="s">
        <v>732</v>
      </c>
      <c r="G99" s="26">
        <v>153</v>
      </c>
      <c r="H99" s="320"/>
      <c r="I99" s="320"/>
      <c r="J99" s="320"/>
      <c r="K99" s="26" t="s">
        <v>695</v>
      </c>
      <c r="L99" s="26" t="s">
        <v>734</v>
      </c>
      <c r="M99" s="26">
        <v>153</v>
      </c>
      <c r="N99" s="320"/>
      <c r="O99" s="320"/>
      <c r="P99" s="320"/>
      <c r="Q99" s="26" t="s">
        <v>736</v>
      </c>
      <c r="R99" s="26" t="s">
        <v>737</v>
      </c>
      <c r="S99" s="26">
        <v>153</v>
      </c>
      <c r="T99" s="26" t="s">
        <v>738</v>
      </c>
      <c r="U99" s="26" t="s">
        <v>739</v>
      </c>
      <c r="V99" s="26">
        <v>153</v>
      </c>
      <c r="W99" s="27"/>
      <c r="X99" s="27"/>
      <c r="Y99" s="27"/>
    </row>
    <row r="100" spans="2:25" s="27" customFormat="1" ht="165.75" hidden="1" x14ac:dyDescent="0.25">
      <c r="B100" s="29" t="str">
        <f>'[1]1 lentelė'!B95</f>
        <v>2.2.1.1.9</v>
      </c>
      <c r="C100" s="29" t="str">
        <f>'[1]1 lentelė'!C95</f>
        <v>R090014-070000-2227</v>
      </c>
      <c r="D100" s="29" t="str">
        <f>'[1]1 lentelė'!D95</f>
        <v>Vandentiekio ir nuotekų tinklų Anykščių aglomeracijoje (sodų bendrija ,,Šaltupys" ir Keblonių k.) statybos darbai.</v>
      </c>
      <c r="E100" s="26" t="s">
        <v>693</v>
      </c>
      <c r="F100" s="26" t="s">
        <v>732</v>
      </c>
      <c r="G100" s="26">
        <v>288</v>
      </c>
      <c r="H100" s="26" t="s">
        <v>695</v>
      </c>
      <c r="I100" s="26" t="s">
        <v>734</v>
      </c>
      <c r="J100" s="26">
        <v>288</v>
      </c>
      <c r="K100" s="26" t="s">
        <v>736</v>
      </c>
      <c r="L100" s="26" t="s">
        <v>737</v>
      </c>
      <c r="M100" s="26">
        <v>288</v>
      </c>
      <c r="N100" s="26" t="s">
        <v>738</v>
      </c>
      <c r="O100" s="26" t="s">
        <v>739</v>
      </c>
      <c r="P100" s="26">
        <v>288</v>
      </c>
      <c r="Q100" s="65"/>
      <c r="R100" s="26"/>
      <c r="S100" s="26"/>
      <c r="T100" s="65"/>
      <c r="U100" s="65"/>
      <c r="V100" s="65"/>
    </row>
    <row r="101" spans="2:25" ht="178.5" hidden="1" x14ac:dyDescent="0.25">
      <c r="B101" s="29" t="str">
        <f>'[1]1 lentelė'!B96</f>
        <v>2.2.1.1.10</v>
      </c>
      <c r="C101" s="29" t="str">
        <f>'[1]1 lentelė'!C96</f>
        <v>R090014-070600-2228</v>
      </c>
      <c r="D101" s="29" t="str">
        <f>'[1]1 lentelė'!D96</f>
        <v>Vandens tiekimo ir nuotekų tvarkymo infrastruktūros plėtra ir rekonstravimas Zarasų rajono savivaldybėje (II etapas)</v>
      </c>
      <c r="E101" s="26" t="s">
        <v>693</v>
      </c>
      <c r="F101" s="26" t="s">
        <v>732</v>
      </c>
      <c r="G101" s="26">
        <v>44</v>
      </c>
      <c r="H101" s="26" t="s">
        <v>695</v>
      </c>
      <c r="I101" s="26" t="s">
        <v>734</v>
      </c>
      <c r="J101" s="26">
        <v>93</v>
      </c>
      <c r="K101" s="26" t="s">
        <v>696</v>
      </c>
      <c r="L101" s="26" t="s">
        <v>735</v>
      </c>
      <c r="M101" s="26">
        <v>62</v>
      </c>
      <c r="N101" s="26" t="s">
        <v>736</v>
      </c>
      <c r="O101" s="26" t="s">
        <v>737</v>
      </c>
      <c r="P101" s="26">
        <v>44</v>
      </c>
      <c r="Q101" s="26" t="s">
        <v>738</v>
      </c>
      <c r="R101" s="26" t="s">
        <v>739</v>
      </c>
      <c r="S101" s="26">
        <v>155</v>
      </c>
      <c r="T101" s="65"/>
      <c r="U101" s="65"/>
      <c r="V101" s="65"/>
      <c r="W101" s="27"/>
      <c r="X101" s="27"/>
      <c r="Y101" s="27"/>
    </row>
    <row r="102" spans="2:25" ht="165.75" hidden="1" x14ac:dyDescent="0.25">
      <c r="B102" s="29" t="str">
        <f>'[1]1 lentelė'!B97</f>
        <v>2.2.1.1.11</v>
      </c>
      <c r="C102" s="29" t="str">
        <f>'[1]1 lentelė'!C97</f>
        <v>R090014-070600-2229</v>
      </c>
      <c r="D102" s="29" t="str">
        <f>'[1]1 lentelė'!D97</f>
        <v>Vandens tiekimo ir nuotekų tvarkymo infrastruktūros plėtra ir rekonstrukcija Molėtų rajone (II etapas)</v>
      </c>
      <c r="E102" s="26" t="s">
        <v>693</v>
      </c>
      <c r="F102" s="26" t="s">
        <v>732</v>
      </c>
      <c r="G102" s="26">
        <v>32</v>
      </c>
      <c r="H102" s="26" t="s">
        <v>695</v>
      </c>
      <c r="I102" s="26" t="s">
        <v>734</v>
      </c>
      <c r="J102" s="26">
        <v>107</v>
      </c>
      <c r="K102" s="26" t="s">
        <v>717</v>
      </c>
      <c r="L102" s="26" t="s">
        <v>731</v>
      </c>
      <c r="M102" s="47">
        <v>0.1</v>
      </c>
      <c r="N102" s="26" t="s">
        <v>738</v>
      </c>
      <c r="O102" s="26" t="s">
        <v>739</v>
      </c>
      <c r="P102" s="26">
        <v>107</v>
      </c>
      <c r="Q102" s="26" t="s">
        <v>736</v>
      </c>
      <c r="R102" s="26" t="s">
        <v>737</v>
      </c>
      <c r="S102" s="26">
        <v>32</v>
      </c>
      <c r="T102" s="65"/>
      <c r="U102" s="65"/>
      <c r="V102" s="65"/>
      <c r="W102" s="27"/>
      <c r="X102" s="27"/>
      <c r="Y102" s="27"/>
    </row>
    <row r="103" spans="2:25" ht="54.75" hidden="1" customHeight="1" x14ac:dyDescent="0.25">
      <c r="B103" s="44" t="str">
        <f>'[1]1 lentelė'!B98</f>
        <v>2.2.1.2</v>
      </c>
      <c r="C103" s="44"/>
      <c r="D103" s="76" t="str">
        <f>'[1]1 lentelė'!D98</f>
        <v>Priemonė: Paviršinių nuotekų sistemų tvarkymas</v>
      </c>
      <c r="E103" s="44"/>
      <c r="F103" s="44"/>
      <c r="G103" s="44"/>
      <c r="H103" s="44"/>
      <c r="I103" s="44"/>
      <c r="J103" s="44"/>
      <c r="K103" s="44"/>
      <c r="L103" s="44"/>
      <c r="M103" s="44"/>
      <c r="N103" s="44"/>
      <c r="O103" s="44"/>
      <c r="P103" s="44"/>
      <c r="Q103" s="44"/>
      <c r="R103" s="44"/>
      <c r="S103" s="44"/>
      <c r="T103" s="44"/>
      <c r="U103" s="44"/>
      <c r="V103" s="44"/>
      <c r="W103" s="27"/>
      <c r="X103" s="27"/>
      <c r="Y103" s="27"/>
    </row>
    <row r="104" spans="2:25" ht="154.5" hidden="1" customHeight="1" x14ac:dyDescent="0.25">
      <c r="B104" s="29" t="str">
        <f>'[1]1 lentelė'!B99</f>
        <v>2.2.1.2.1</v>
      </c>
      <c r="C104" s="29" t="str">
        <f>'[1]1 lentelė'!C99</f>
        <v>R090007-080000-2207</v>
      </c>
      <c r="D104" s="29" t="str">
        <f>'[1]1 lentelė'!D99</f>
        <v>Paviršinių nuotekų tinklų ir jiems priklausančios infrastruktūros rekonstrukcija ir plėtra Utenos mieste</v>
      </c>
      <c r="E104" s="26" t="s">
        <v>715</v>
      </c>
      <c r="F104" s="26" t="s">
        <v>740</v>
      </c>
      <c r="G104" s="26">
        <v>52.58</v>
      </c>
      <c r="H104" s="26" t="s">
        <v>692</v>
      </c>
      <c r="I104" s="26" t="s">
        <v>741</v>
      </c>
      <c r="J104" s="26">
        <v>20.25</v>
      </c>
      <c r="K104" s="26"/>
      <c r="L104" s="26"/>
      <c r="M104" s="26"/>
      <c r="N104" s="26"/>
      <c r="O104" s="26"/>
      <c r="P104" s="26"/>
      <c r="Q104" s="65"/>
      <c r="R104" s="65"/>
      <c r="S104" s="65"/>
      <c r="T104" s="65"/>
      <c r="U104" s="65"/>
      <c r="V104" s="65"/>
      <c r="W104" s="27"/>
      <c r="X104" s="27"/>
      <c r="Y104" s="27"/>
    </row>
    <row r="105" spans="2:25" ht="156" hidden="1" customHeight="1" x14ac:dyDescent="0.25">
      <c r="B105" s="29" t="str">
        <f>'[1]1 lentelė'!B100</f>
        <v>2.2.1.2.2</v>
      </c>
      <c r="C105" s="29" t="str">
        <f>'[1]1 lentelė'!C100</f>
        <v>R090007-080000-2208</v>
      </c>
      <c r="D105" s="29" t="str">
        <f>'[1]1 lentelė'!D100</f>
        <v>Inžinerinių paviršinių nuotekų surinkimo ir šalinimo tinklų rekonstravimas Visagino g. atkarpoje nuo Parko iki Vilties g.</v>
      </c>
      <c r="E105" s="26" t="s">
        <v>715</v>
      </c>
      <c r="F105" s="26" t="s">
        <v>1394</v>
      </c>
      <c r="G105" s="26">
        <v>71.92</v>
      </c>
      <c r="H105" s="26"/>
      <c r="I105" s="26"/>
      <c r="J105" s="26"/>
      <c r="K105" s="26"/>
      <c r="L105" s="26"/>
      <c r="M105" s="26"/>
      <c r="N105" s="26"/>
      <c r="O105" s="26"/>
      <c r="P105" s="26"/>
      <c r="Q105" s="65"/>
      <c r="R105" s="65"/>
      <c r="S105" s="65"/>
      <c r="T105" s="65"/>
      <c r="U105" s="65"/>
      <c r="V105" s="65"/>
      <c r="W105" s="27"/>
      <c r="X105" s="27"/>
      <c r="Y105" s="27"/>
    </row>
    <row r="106" spans="2:25" ht="66.75" hidden="1" customHeight="1" x14ac:dyDescent="0.25">
      <c r="B106" s="21" t="str">
        <f>'[1]1 lentelė'!B101</f>
        <v>2.2.1.3</v>
      </c>
      <c r="C106" s="21" t="e">
        <f>'[1]1 lentelė'!C101</f>
        <v>#REF!</v>
      </c>
      <c r="D106" s="21" t="str">
        <f>'[1]1 lentelė'!D101</f>
        <v>Priemonė: Komunalinių atliekų tvarkymo infrastruktūros plėtra</v>
      </c>
      <c r="E106" s="21"/>
      <c r="F106" s="21"/>
      <c r="G106" s="21"/>
      <c r="H106" s="21"/>
      <c r="I106" s="21"/>
      <c r="J106" s="21"/>
      <c r="K106" s="21"/>
      <c r="L106" s="21"/>
      <c r="M106" s="21"/>
      <c r="N106" s="21"/>
      <c r="O106" s="21"/>
      <c r="P106" s="21"/>
      <c r="Q106" s="21"/>
      <c r="R106" s="21"/>
      <c r="S106" s="21"/>
      <c r="T106" s="21"/>
      <c r="U106" s="21"/>
      <c r="V106" s="21"/>
      <c r="W106" s="27"/>
      <c r="X106" s="27"/>
      <c r="Y106" s="27"/>
    </row>
    <row r="107" spans="2:25" ht="103.5" hidden="1" customHeight="1" x14ac:dyDescent="0.25">
      <c r="B107" s="29" t="str">
        <f>'[1]1 lentelė'!B102</f>
        <v>2.2.1.3.1</v>
      </c>
      <c r="C107" s="29" t="str">
        <f>'[1]1 lentelė'!C102</f>
        <v>R090008-050000-2209</v>
      </c>
      <c r="D107" s="29" t="str">
        <f>'[1]1 lentelė'!D102</f>
        <v>Komunalinių atliekų tvarkymo infrastruktūros plėtra Visagino savivaldybėje</v>
      </c>
      <c r="E107" s="26" t="s">
        <v>716</v>
      </c>
      <c r="F107" s="26" t="s">
        <v>1395</v>
      </c>
      <c r="G107" s="26">
        <v>1105.32</v>
      </c>
      <c r="H107" s="26"/>
      <c r="I107" s="26"/>
      <c r="J107" s="26"/>
      <c r="K107" s="26"/>
      <c r="L107" s="26"/>
      <c r="M107" s="26"/>
      <c r="N107" s="26"/>
      <c r="O107" s="26"/>
      <c r="P107" s="26"/>
      <c r="Q107" s="65"/>
      <c r="R107" s="65"/>
      <c r="S107" s="65"/>
      <c r="T107" s="65"/>
      <c r="U107" s="65"/>
      <c r="V107" s="65"/>
      <c r="W107" s="27"/>
      <c r="X107" s="27"/>
      <c r="Y107" s="27"/>
    </row>
    <row r="108" spans="2:25" ht="144.75" hidden="1" customHeight="1" x14ac:dyDescent="0.25">
      <c r="B108" s="29" t="str">
        <f>'[1]1 lentelė'!B103</f>
        <v>2.2.1.3.2</v>
      </c>
      <c r="C108" s="29" t="str">
        <f>'[1]1 lentelė'!C103</f>
        <v>R090008-050000-2210</v>
      </c>
      <c r="D108" s="29" t="str">
        <f>'[1]1 lentelė'!D103</f>
        <v>Konteinerinių aikštelių įrengimas ( rekonstrukcija) Ignalinos r. savivaldybėje ir atliekų surinkimo konteinerių konteinerinėms aikštelėms įsigijimas</v>
      </c>
      <c r="E108" s="26" t="s">
        <v>716</v>
      </c>
      <c r="F108" s="26" t="s">
        <v>1396</v>
      </c>
      <c r="G108" s="26">
        <v>729</v>
      </c>
      <c r="H108" s="26"/>
      <c r="I108" s="26"/>
      <c r="J108" s="26"/>
      <c r="K108" s="26"/>
      <c r="L108" s="26"/>
      <c r="M108" s="26"/>
      <c r="N108" s="26"/>
      <c r="O108" s="26"/>
      <c r="P108" s="26"/>
      <c r="Q108" s="65"/>
      <c r="R108" s="65"/>
      <c r="S108" s="65"/>
      <c r="T108" s="65"/>
      <c r="U108" s="65"/>
      <c r="V108" s="65"/>
      <c r="W108" s="27"/>
      <c r="X108" s="27"/>
      <c r="Y108" s="27"/>
    </row>
    <row r="109" spans="2:25" ht="92.25" hidden="1" customHeight="1" x14ac:dyDescent="0.25">
      <c r="B109" s="29" t="str">
        <f>'[1]1 lentelė'!B104</f>
        <v>2.2.1.3.3</v>
      </c>
      <c r="C109" s="29" t="str">
        <f>'[1]1 lentelė'!C104</f>
        <v>R090008-050000-2211</v>
      </c>
      <c r="D109" s="29" t="str">
        <f>'[1]1 lentelė'!D104</f>
        <v>Komunalinių atliekų tvarkymo infrastruktūros plėtra Anykščių rajono savivaldybėje</v>
      </c>
      <c r="E109" s="26" t="s">
        <v>716</v>
      </c>
      <c r="F109" s="26" t="s">
        <v>1397</v>
      </c>
      <c r="G109" s="26">
        <v>2553.5</v>
      </c>
      <c r="H109" s="26"/>
      <c r="I109" s="26"/>
      <c r="J109" s="26"/>
      <c r="K109" s="26"/>
      <c r="L109" s="26"/>
      <c r="M109" s="26"/>
      <c r="N109" s="26"/>
      <c r="O109" s="26"/>
      <c r="P109" s="26"/>
      <c r="Q109" s="65"/>
      <c r="R109" s="65"/>
      <c r="S109" s="65"/>
      <c r="T109" s="65"/>
      <c r="U109" s="65"/>
      <c r="V109" s="65"/>
      <c r="W109" s="27"/>
      <c r="X109" s="27"/>
      <c r="Y109" s="27"/>
    </row>
    <row r="110" spans="2:25" ht="89.25" hidden="1" x14ac:dyDescent="0.25">
      <c r="B110" s="29" t="str">
        <f>'[1]1 lentelė'!B105</f>
        <v>2.2.1.3.4</v>
      </c>
      <c r="C110" s="29" t="str">
        <f>'[1]1 lentelė'!C105</f>
        <v>R090008-050000-2212</v>
      </c>
      <c r="D110" s="29" t="str">
        <f>'[1]1 lentelė'!D105</f>
        <v>Molėtų rajono komunalinių atliekų tvarkymo infrastruktūros plėtra</v>
      </c>
      <c r="E110" s="26" t="s">
        <v>716</v>
      </c>
      <c r="F110" s="26" t="s">
        <v>1397</v>
      </c>
      <c r="G110" s="26">
        <v>2248.75</v>
      </c>
      <c r="H110" s="26"/>
      <c r="I110" s="26"/>
      <c r="J110" s="26"/>
      <c r="K110" s="26"/>
      <c r="L110" s="26"/>
      <c r="M110" s="26"/>
      <c r="N110" s="26"/>
      <c r="O110" s="26"/>
      <c r="P110" s="26"/>
      <c r="Q110" s="65"/>
      <c r="R110" s="65"/>
      <c r="S110" s="65"/>
      <c r="T110" s="65"/>
      <c r="U110" s="65"/>
      <c r="V110" s="65"/>
      <c r="W110" s="27"/>
      <c r="X110" s="27"/>
      <c r="Y110" s="27"/>
    </row>
    <row r="111" spans="2:25" ht="102" hidden="1" x14ac:dyDescent="0.25">
      <c r="B111" s="29" t="str">
        <f>'[1]1 lentelė'!B106</f>
        <v>2.2.1.3.5</v>
      </c>
      <c r="C111" s="29" t="str">
        <f>'1 lentelė'!C113</f>
        <v>R090008-050000-2213</v>
      </c>
      <c r="D111" s="29" t="str">
        <f>'1 lentelė'!E113</f>
        <v>Zarasų rajono savivaldybės administracija, partneris – UAB Utenos regiono atliekų tvarkymo centras</v>
      </c>
      <c r="E111" s="26" t="s">
        <v>716</v>
      </c>
      <c r="F111" s="26" t="s">
        <v>1395</v>
      </c>
      <c r="G111" s="26">
        <v>1213.93</v>
      </c>
      <c r="H111" s="26"/>
      <c r="I111" s="26"/>
      <c r="J111" s="26"/>
      <c r="K111" s="26"/>
      <c r="L111" s="26"/>
      <c r="M111" s="26"/>
      <c r="N111" s="26"/>
      <c r="O111" s="26"/>
      <c r="P111" s="26"/>
      <c r="Q111" s="65"/>
      <c r="R111" s="65"/>
      <c r="S111" s="65"/>
      <c r="T111" s="65"/>
      <c r="U111" s="65"/>
      <c r="V111" s="65"/>
      <c r="W111" s="27"/>
      <c r="X111" s="27"/>
      <c r="Y111" s="27"/>
    </row>
    <row r="112" spans="2:25" ht="89.25" hidden="1" x14ac:dyDescent="0.25">
      <c r="B112" s="29" t="str">
        <f>'[1]1 lentelė'!B107</f>
        <v>2.2.1.3.6</v>
      </c>
      <c r="C112" s="29" t="str">
        <f>'1 lentelė'!C114</f>
        <v>R090008-050000-2214</v>
      </c>
      <c r="D112" s="29" t="str">
        <f>'1 lentelė'!D114</f>
        <v>Komunalinių atliekų tvarkymo infrastruktūros plėtra Utenos rajone</v>
      </c>
      <c r="E112" s="26" t="s">
        <v>716</v>
      </c>
      <c r="F112" s="26" t="s">
        <v>742</v>
      </c>
      <c r="G112" s="26">
        <v>3064.6</v>
      </c>
      <c r="H112" s="26"/>
      <c r="I112" s="26"/>
      <c r="J112" s="26"/>
      <c r="K112" s="26"/>
      <c r="L112" s="26"/>
      <c r="M112" s="26"/>
      <c r="N112" s="26"/>
      <c r="O112" s="26"/>
      <c r="P112" s="26"/>
      <c r="Q112" s="65"/>
      <c r="R112" s="65"/>
      <c r="S112" s="65"/>
      <c r="T112" s="65"/>
      <c r="U112" s="65"/>
      <c r="V112" s="65"/>
      <c r="W112" s="27"/>
      <c r="X112" s="27"/>
      <c r="Y112" s="27"/>
    </row>
    <row r="113" spans="2:30" ht="76.5" hidden="1" x14ac:dyDescent="0.25">
      <c r="B113" s="43" t="str">
        <f>'[1]1 lentelė'!B108</f>
        <v>2.2.2.</v>
      </c>
      <c r="C113" s="43"/>
      <c r="D113" s="318" t="str">
        <f>'[1]1 lentelė'!D108</f>
        <v>Uždavinys: Gerinti regiono kraštovaizdžio tvarkymo ir apsaugos efektyvumą</v>
      </c>
      <c r="E113" s="43"/>
      <c r="F113" s="43"/>
      <c r="G113" s="43"/>
      <c r="H113" s="43"/>
      <c r="I113" s="43"/>
      <c r="J113" s="43"/>
      <c r="K113" s="43"/>
      <c r="L113" s="43"/>
      <c r="M113" s="43"/>
      <c r="N113" s="43"/>
      <c r="O113" s="43"/>
      <c r="P113" s="43"/>
      <c r="Q113" s="43"/>
      <c r="R113" s="43"/>
      <c r="S113" s="43"/>
      <c r="T113" s="43"/>
      <c r="U113" s="43"/>
      <c r="V113" s="43"/>
      <c r="W113" s="27"/>
      <c r="X113" s="27"/>
      <c r="Y113" s="27"/>
    </row>
    <row r="114" spans="2:30" ht="38.25" hidden="1" x14ac:dyDescent="0.25">
      <c r="B114" s="44" t="str">
        <f>'[1]1 lentelė'!B109</f>
        <v>2.2.2.1</v>
      </c>
      <c r="C114" s="44"/>
      <c r="D114" s="44" t="str">
        <f>'[1]1 lentelė'!D109</f>
        <v>Priemonė: Kraštovaizdžio apsauga</v>
      </c>
      <c r="E114" s="44"/>
      <c r="F114" s="44"/>
      <c r="G114" s="44"/>
      <c r="H114" s="44"/>
      <c r="I114" s="44"/>
      <c r="J114" s="44"/>
      <c r="K114" s="44"/>
      <c r="L114" s="44"/>
      <c r="M114" s="44"/>
      <c r="N114" s="44"/>
      <c r="O114" s="44"/>
      <c r="P114" s="44"/>
      <c r="Q114" s="44"/>
      <c r="R114" s="44"/>
      <c r="S114" s="44"/>
      <c r="T114" s="44"/>
      <c r="U114" s="44"/>
      <c r="V114" s="44"/>
      <c r="W114" s="27"/>
      <c r="X114" s="27"/>
      <c r="Y114" s="27"/>
    </row>
    <row r="115" spans="2:30" ht="153" hidden="1" x14ac:dyDescent="0.25">
      <c r="B115" s="29" t="str">
        <f>'[1]1 lentelė'!B110</f>
        <v>2.2.2.1.1</v>
      </c>
      <c r="C115" s="29" t="str">
        <f>'[1]1 lentelė'!C110</f>
        <v>R090019-380000-2215</v>
      </c>
      <c r="D115" s="29" t="str">
        <f>'[1]1 lentelė'!D110</f>
        <v>Zarasų rajono savivaldybės bendrųjų planų koregavimas</v>
      </c>
      <c r="E115" s="26" t="s">
        <v>697</v>
      </c>
      <c r="F115" s="26" t="s">
        <v>743</v>
      </c>
      <c r="G115" s="26">
        <v>2</v>
      </c>
      <c r="H115" s="26"/>
      <c r="I115" s="26"/>
      <c r="J115" s="26"/>
      <c r="K115" s="26"/>
      <c r="L115" s="26"/>
      <c r="M115" s="26"/>
      <c r="N115" s="26"/>
      <c r="O115" s="26"/>
      <c r="P115" s="26"/>
      <c r="Q115" s="65"/>
      <c r="R115" s="65"/>
      <c r="S115" s="65"/>
      <c r="T115" s="65"/>
      <c r="U115" s="65"/>
      <c r="V115" s="65"/>
      <c r="W115" s="27"/>
      <c r="X115" s="27"/>
      <c r="Y115" s="27"/>
    </row>
    <row r="116" spans="2:30" ht="111.75" hidden="1" customHeight="1" x14ac:dyDescent="0.25">
      <c r="B116" s="29" t="str">
        <f>'[1]1 lentelė'!B111</f>
        <v>2.2.2.1.2</v>
      </c>
      <c r="C116" s="29" t="str">
        <f>'[1]1 lentelė'!C111</f>
        <v>R090019-380000-2216</v>
      </c>
      <c r="D116" s="29" t="str">
        <f>'[1]1 lentelė'!D111</f>
        <v>Bešeimininkių apleistų, kraštovaizdį darkančių statinių likvidavimas Molėtų rajono savivaldybėje</v>
      </c>
      <c r="E116" s="26" t="s">
        <v>698</v>
      </c>
      <c r="F116" s="26" t="s">
        <v>744</v>
      </c>
      <c r="G116" s="26">
        <v>36</v>
      </c>
      <c r="H116" s="26" t="s">
        <v>722</v>
      </c>
      <c r="I116" s="26" t="s">
        <v>745</v>
      </c>
      <c r="J116" s="26">
        <v>2.98</v>
      </c>
      <c r="K116" s="26"/>
      <c r="L116" s="26"/>
      <c r="M116" s="26"/>
      <c r="N116" s="26"/>
      <c r="O116" s="26"/>
      <c r="P116" s="26"/>
      <c r="Q116" s="65"/>
      <c r="R116" s="65"/>
      <c r="S116" s="65"/>
      <c r="T116" s="65"/>
      <c r="U116" s="65"/>
      <c r="V116" s="65"/>
      <c r="W116" s="27"/>
      <c r="X116" s="345" t="s">
        <v>698</v>
      </c>
      <c r="Y116" s="345" t="s">
        <v>744</v>
      </c>
      <c r="Z116" s="345">
        <v>31</v>
      </c>
      <c r="AA116" s="345" t="s">
        <v>722</v>
      </c>
      <c r="AB116" s="345" t="s">
        <v>745</v>
      </c>
      <c r="AC116" s="345">
        <v>2.6</v>
      </c>
    </row>
    <row r="117" spans="2:30" ht="114.75" hidden="1" x14ac:dyDescent="0.25">
      <c r="B117" s="29" t="str">
        <f>'[1]1 lentelė'!B112</f>
        <v>2.2.2.1.3</v>
      </c>
      <c r="C117" s="29" t="str">
        <f>'[1]1 lentelė'!C112</f>
        <v>R090019-380000-2217</v>
      </c>
      <c r="D117" s="29" t="str">
        <f>'[1]1 lentelė'!D112</f>
        <v>Kraštovaizdžio formavimas ir ekologinės būklės gerinimas Zarasų rajone</v>
      </c>
      <c r="E117" s="26" t="s">
        <v>719</v>
      </c>
      <c r="F117" s="26" t="s">
        <v>746</v>
      </c>
      <c r="G117" s="26">
        <v>3</v>
      </c>
      <c r="H117" s="26" t="s">
        <v>722</v>
      </c>
      <c r="I117" s="26" t="s">
        <v>745</v>
      </c>
      <c r="J117" s="26">
        <v>28.9</v>
      </c>
      <c r="K117" s="26"/>
      <c r="L117" s="26"/>
      <c r="M117" s="26"/>
      <c r="N117" s="26"/>
      <c r="O117" s="26"/>
      <c r="P117" s="26"/>
      <c r="Q117" s="65"/>
      <c r="R117" s="65"/>
      <c r="S117" s="65"/>
      <c r="T117" s="65"/>
      <c r="U117" s="65"/>
      <c r="V117" s="65"/>
      <c r="W117" s="27"/>
      <c r="X117" s="27"/>
      <c r="Y117" s="27"/>
    </row>
    <row r="118" spans="2:30" ht="102" hidden="1" x14ac:dyDescent="0.25">
      <c r="B118" s="192" t="str">
        <f>'[1]1 lentelė'!B113</f>
        <v>2.2.2.1.4</v>
      </c>
      <c r="C118" s="29" t="str">
        <f>'[1]1 lentelė'!C113</f>
        <v>R090019-380000-2218</v>
      </c>
      <c r="D118" s="29" t="str">
        <f>'[1]1 lentelė'!D113</f>
        <v>Želdynų teritorijos formavimas ir kraštovaizdžio būklės gerinimas Utenos mieste</v>
      </c>
      <c r="E118" s="26" t="s">
        <v>719</v>
      </c>
      <c r="F118" s="26" t="s">
        <v>1398</v>
      </c>
      <c r="G118" s="26">
        <v>1</v>
      </c>
      <c r="H118" s="26" t="s">
        <v>722</v>
      </c>
      <c r="I118" s="26" t="s">
        <v>745</v>
      </c>
      <c r="J118" s="26">
        <v>8.6999999999999993</v>
      </c>
      <c r="K118" s="26"/>
      <c r="L118" s="26"/>
      <c r="M118" s="26"/>
      <c r="N118" s="26"/>
      <c r="O118" s="26"/>
      <c r="P118" s="26"/>
      <c r="Q118" s="65"/>
      <c r="R118" s="65"/>
      <c r="S118" s="65"/>
      <c r="T118" s="65"/>
      <c r="U118" s="65"/>
      <c r="V118" s="65"/>
      <c r="W118" s="27"/>
      <c r="X118" s="27"/>
      <c r="Y118" s="27" t="s">
        <v>719</v>
      </c>
      <c r="Z118" s="6" t="s">
        <v>1398</v>
      </c>
      <c r="AA118" s="6">
        <v>1</v>
      </c>
      <c r="AB118" s="6" t="s">
        <v>722</v>
      </c>
      <c r="AC118" s="6" t="s">
        <v>745</v>
      </c>
      <c r="AD118" s="6">
        <v>30</v>
      </c>
    </row>
    <row r="119" spans="2:30" ht="144" hidden="1" customHeight="1" x14ac:dyDescent="0.25">
      <c r="B119" s="29" t="str">
        <f>'[1]1 lentelė'!B114</f>
        <v>2.2.2.1.5</v>
      </c>
      <c r="C119" s="29" t="str">
        <f>'[1]1 lentelė'!C114</f>
        <v>R090019-380000-2219</v>
      </c>
      <c r="D119" s="29" t="str">
        <f>'[1]1 lentelė'!D114</f>
        <v>,,Anykščių rajono kraštovaizdžio estetinio potencialo didinimas likviduojant bešeimininkius  kraštovaizdį darkančius statinius“</v>
      </c>
      <c r="E119" s="26" t="s">
        <v>698</v>
      </c>
      <c r="F119" s="26" t="s">
        <v>1399</v>
      </c>
      <c r="G119" s="26">
        <v>68</v>
      </c>
      <c r="H119" s="26" t="s">
        <v>722</v>
      </c>
      <c r="I119" s="26" t="s">
        <v>745</v>
      </c>
      <c r="J119" s="26">
        <v>18.32</v>
      </c>
      <c r="K119" s="26"/>
      <c r="L119" s="26"/>
      <c r="M119" s="26"/>
      <c r="N119" s="26"/>
      <c r="O119" s="26"/>
      <c r="P119" s="26"/>
      <c r="Q119" s="65"/>
      <c r="R119" s="65"/>
      <c r="S119" s="65"/>
      <c r="T119" s="65"/>
      <c r="U119" s="65"/>
      <c r="V119" s="65"/>
      <c r="W119" s="27"/>
      <c r="X119" s="27"/>
      <c r="Y119" s="27"/>
    </row>
    <row r="120" spans="2:30" ht="94.5" hidden="1" customHeight="1" x14ac:dyDescent="0.25">
      <c r="B120" s="29" t="str">
        <f>'[1]1 lentelė'!B115</f>
        <v>2.2.2.1.6</v>
      </c>
      <c r="C120" s="29" t="str">
        <f>'[1]1 lentelė'!C115</f>
        <v>R090019-380000-2220</v>
      </c>
      <c r="D120" s="29" t="str">
        <f>'[1]1 lentelė'!D115</f>
        <v>Kraštovaizdžio formavimas ir ekologinės būklės gerinimas Anykščių rajono savivaldybėje</v>
      </c>
      <c r="E120" s="26" t="s">
        <v>722</v>
      </c>
      <c r="F120" s="26" t="s">
        <v>745</v>
      </c>
      <c r="G120" s="47">
        <v>3.04</v>
      </c>
      <c r="H120" s="26" t="s">
        <v>698</v>
      </c>
      <c r="I120" s="26" t="s">
        <v>744</v>
      </c>
      <c r="J120" s="26">
        <v>34</v>
      </c>
      <c r="K120" s="26"/>
      <c r="L120" s="26"/>
      <c r="M120" s="26"/>
      <c r="N120" s="26"/>
      <c r="O120" s="26"/>
      <c r="P120" s="26"/>
      <c r="Q120" s="65"/>
      <c r="R120" s="65"/>
      <c r="S120" s="65"/>
      <c r="T120" s="65"/>
      <c r="U120" s="65"/>
      <c r="V120" s="65"/>
      <c r="W120" s="27"/>
      <c r="X120" s="27"/>
      <c r="Y120" s="27"/>
    </row>
    <row r="121" spans="2:30" ht="132.75" hidden="1" customHeight="1" x14ac:dyDescent="0.25">
      <c r="B121" s="29" t="str">
        <f>'[1]1 lentelė'!B116</f>
        <v>2.2.2.1.7</v>
      </c>
      <c r="C121" s="29" t="str">
        <f>'[1]1 lentelė'!C116</f>
        <v>R090019-380000-2221</v>
      </c>
      <c r="D121" s="29" t="str">
        <f>'[1]1 lentelė'!D116</f>
        <v>Visagino miesto kraštovaizdžio formavimas, ekologinės būklės gerinimas ir želdynų tvarkymas (kūrimas) gamtinio karkaso teritorijose</v>
      </c>
      <c r="E121" s="26" t="s">
        <v>719</v>
      </c>
      <c r="F121" s="26" t="s">
        <v>1398</v>
      </c>
      <c r="G121" s="26">
        <v>1</v>
      </c>
      <c r="H121" s="26" t="s">
        <v>722</v>
      </c>
      <c r="I121" s="26" t="s">
        <v>745</v>
      </c>
      <c r="J121" s="26">
        <v>20</v>
      </c>
      <c r="K121" s="26"/>
      <c r="L121" s="26"/>
      <c r="M121" s="26"/>
      <c r="N121" s="26"/>
      <c r="O121" s="26"/>
      <c r="P121" s="26"/>
      <c r="Q121" s="65"/>
      <c r="R121" s="65"/>
      <c r="S121" s="65"/>
      <c r="T121" s="65"/>
      <c r="U121" s="65"/>
      <c r="V121" s="65"/>
      <c r="W121" s="27"/>
      <c r="X121" s="27"/>
      <c r="Y121" s="27"/>
    </row>
    <row r="122" spans="2:30" ht="145.5" hidden="1" customHeight="1" x14ac:dyDescent="0.25">
      <c r="B122" s="29" t="str">
        <f>'[1]1 lentelė'!B117</f>
        <v>2.2.2.1.8</v>
      </c>
      <c r="C122" s="29" t="str">
        <f>'[1]1 lentelė'!C117</f>
        <v>R090019-380000-2222</v>
      </c>
      <c r="D122" s="29" t="str">
        <f>'[1]1 lentelė'!D117</f>
        <v>Utenos rajono kraštovaizdžio estetinio potencialo didinimas likviduojant bešeimininkius apleistus, kraštovaizdį darkančius statinius</v>
      </c>
      <c r="E122" s="26" t="s">
        <v>698</v>
      </c>
      <c r="F122" s="26" t="s">
        <v>744</v>
      </c>
      <c r="G122" s="26">
        <v>7</v>
      </c>
      <c r="H122" s="26" t="s">
        <v>722</v>
      </c>
      <c r="I122" s="26" t="s">
        <v>745</v>
      </c>
      <c r="J122" s="26">
        <v>0.61</v>
      </c>
      <c r="K122" s="26"/>
      <c r="L122" s="26"/>
      <c r="M122" s="26"/>
      <c r="N122" s="26"/>
      <c r="O122" s="26"/>
      <c r="P122" s="26"/>
      <c r="Q122" s="65"/>
      <c r="R122" s="65"/>
      <c r="S122" s="65"/>
      <c r="T122" s="65"/>
      <c r="U122" s="65"/>
      <c r="V122" s="65"/>
      <c r="W122" s="27"/>
      <c r="X122" s="88" t="s">
        <v>1366</v>
      </c>
      <c r="Y122" s="345" t="s">
        <v>698</v>
      </c>
      <c r="Z122" s="345" t="s">
        <v>744</v>
      </c>
      <c r="AA122" s="345">
        <v>3</v>
      </c>
      <c r="AB122" s="345" t="s">
        <v>722</v>
      </c>
      <c r="AC122" s="345" t="s">
        <v>745</v>
      </c>
      <c r="AD122" s="345">
        <v>0.25</v>
      </c>
    </row>
    <row r="123" spans="2:30" ht="153" hidden="1" x14ac:dyDescent="0.25">
      <c r="B123" s="29" t="str">
        <f>'[1]1 lentelė'!B118</f>
        <v>2.2.2.1.9</v>
      </c>
      <c r="C123" s="29" t="str">
        <f>'[1]1 lentelė'!C118</f>
        <v>R090019-380000-2223</v>
      </c>
      <c r="D123" s="29" t="str">
        <f>'[1]1 lentelė'!D118</f>
        <v xml:space="preserve">Kraštovaizdžio planavimas, tvarkymas ir būklės gerinimas Molėtų rajone </v>
      </c>
      <c r="E123" s="26" t="s">
        <v>698</v>
      </c>
      <c r="F123" s="26" t="s">
        <v>744</v>
      </c>
      <c r="G123" s="26">
        <v>35</v>
      </c>
      <c r="H123" s="26" t="s">
        <v>697</v>
      </c>
      <c r="I123" s="26" t="s">
        <v>743</v>
      </c>
      <c r="J123" s="26">
        <v>1</v>
      </c>
      <c r="K123" s="26" t="s">
        <v>722</v>
      </c>
      <c r="L123" s="26" t="s">
        <v>745</v>
      </c>
      <c r="M123" s="26">
        <v>3.07</v>
      </c>
      <c r="N123" s="26"/>
      <c r="O123" s="26"/>
      <c r="P123" s="26"/>
      <c r="Q123" s="65"/>
      <c r="R123" s="65"/>
      <c r="S123" s="65"/>
      <c r="T123" s="65"/>
      <c r="U123" s="65"/>
      <c r="V123" s="65"/>
      <c r="W123" s="27"/>
      <c r="X123" s="27"/>
      <c r="Y123" s="27"/>
    </row>
    <row r="124" spans="2:30" ht="153" hidden="1" x14ac:dyDescent="0.25">
      <c r="B124" s="29" t="str">
        <f>'[1]1 lentelė'!B119</f>
        <v>2.2.2.1.10</v>
      </c>
      <c r="C124" s="29" t="str">
        <f>'[1]1 lentelė'!C119</f>
        <v>R090019-380000-2224</v>
      </c>
      <c r="D124" s="29" t="str">
        <f>'[1]1 lentelė'!D119</f>
        <v>Kraštovaizdžio formavimas, pažeistų žemių tvarkymas Ignalinos rajone ir bendrųjų planų tikslinimas</v>
      </c>
      <c r="E124" s="23" t="s">
        <v>697</v>
      </c>
      <c r="F124" s="23" t="s">
        <v>743</v>
      </c>
      <c r="G124" s="23">
        <v>2</v>
      </c>
      <c r="H124" s="23" t="s">
        <v>719</v>
      </c>
      <c r="I124" s="23" t="s">
        <v>1398</v>
      </c>
      <c r="J124" s="23">
        <v>1</v>
      </c>
      <c r="K124" s="23" t="s">
        <v>722</v>
      </c>
      <c r="L124" s="23" t="s">
        <v>745</v>
      </c>
      <c r="M124" s="23">
        <v>10</v>
      </c>
      <c r="N124" s="23" t="s">
        <v>725</v>
      </c>
      <c r="O124" s="23" t="s">
        <v>747</v>
      </c>
      <c r="P124" s="23">
        <v>2</v>
      </c>
      <c r="Q124" s="67" t="s">
        <v>698</v>
      </c>
      <c r="R124" s="67" t="s">
        <v>744</v>
      </c>
      <c r="S124" s="67">
        <v>8</v>
      </c>
      <c r="T124" s="48"/>
      <c r="U124" s="48"/>
      <c r="V124" s="48"/>
    </row>
    <row r="125" spans="2:30" ht="93" hidden="1" customHeight="1" x14ac:dyDescent="0.25">
      <c r="B125" s="29" t="str">
        <f>'[1]1 lentelė'!B120</f>
        <v>2.2.2.1.11</v>
      </c>
      <c r="C125" s="29" t="str">
        <f>'[1]1 lentelė'!C120</f>
        <v>R090019-380000-2225</v>
      </c>
      <c r="D125" s="29" t="str">
        <f>'1 lentelė'!D127</f>
        <v>Bešeimininkių apleistų statinių likvidavimas Molėtų rajono savivaldybėje</v>
      </c>
      <c r="E125" s="249" t="s">
        <v>698</v>
      </c>
      <c r="F125" s="249" t="s">
        <v>744</v>
      </c>
      <c r="G125" s="249">
        <v>8</v>
      </c>
      <c r="H125" s="26" t="s">
        <v>722</v>
      </c>
      <c r="I125" s="26" t="s">
        <v>745</v>
      </c>
      <c r="J125" s="26">
        <v>1.03</v>
      </c>
      <c r="K125" s="26"/>
      <c r="L125" s="23"/>
      <c r="M125" s="23"/>
      <c r="N125" s="23"/>
      <c r="O125" s="23"/>
      <c r="P125" s="23"/>
      <c r="Q125" s="67"/>
      <c r="R125" s="67"/>
      <c r="S125" s="67"/>
      <c r="T125" s="48"/>
      <c r="U125" s="48"/>
      <c r="V125" s="48"/>
    </row>
    <row r="126" spans="2:30" ht="89.25" hidden="1" x14ac:dyDescent="0.25">
      <c r="B126" s="29" t="str">
        <f>'[1]1 lentelė'!B121</f>
        <v>2.2.2.1.12</v>
      </c>
      <c r="C126" s="29" t="str">
        <f>'[1]1 lentelė'!C121</f>
        <v>R090019-380000-2226</v>
      </c>
      <c r="D126" s="29" t="str">
        <f>'[1]1 lentelė'!D121</f>
        <v>Bešeimininkių apleistų pastatų likvidavimas Zarasų rajone</v>
      </c>
      <c r="E126" s="249" t="s">
        <v>698</v>
      </c>
      <c r="F126" s="249" t="s">
        <v>744</v>
      </c>
      <c r="G126" s="249">
        <v>5</v>
      </c>
      <c r="H126" s="26" t="s">
        <v>722</v>
      </c>
      <c r="I126" s="26" t="s">
        <v>745</v>
      </c>
      <c r="J126" s="26">
        <v>0.45800000000000002</v>
      </c>
      <c r="K126" s="26"/>
      <c r="L126" s="23"/>
      <c r="M126" s="23"/>
      <c r="N126" s="23"/>
      <c r="O126" s="23"/>
      <c r="P126" s="23"/>
      <c r="Q126" s="67"/>
      <c r="R126" s="67"/>
      <c r="S126" s="67"/>
      <c r="T126" s="48"/>
      <c r="U126" s="48"/>
      <c r="V126" s="48"/>
    </row>
    <row r="127" spans="2:30" ht="78.75" hidden="1" customHeight="1" x14ac:dyDescent="0.25">
      <c r="B127" s="46" t="str">
        <f>'[1]1 lentelė'!B122</f>
        <v xml:space="preserve">2.3 </v>
      </c>
      <c r="C127" s="46"/>
      <c r="D127" s="46" t="str">
        <f>'[1]1 lentelė'!D122</f>
        <v>Tikslas: Verslo ir investicijų skatinimas bei pramonės potencialo skatinimas</v>
      </c>
      <c r="E127" s="46"/>
      <c r="F127" s="45"/>
      <c r="G127" s="46"/>
      <c r="H127" s="46"/>
      <c r="I127" s="46"/>
      <c r="J127" s="46"/>
      <c r="K127" s="45"/>
      <c r="L127" s="46"/>
      <c r="M127" s="46"/>
      <c r="N127" s="46"/>
      <c r="O127" s="46"/>
      <c r="P127" s="45"/>
      <c r="Q127" s="45"/>
      <c r="R127" s="46"/>
      <c r="S127" s="46"/>
      <c r="T127" s="46"/>
      <c r="U127" s="46"/>
      <c r="V127" s="45"/>
    </row>
    <row r="128" spans="2:30" ht="90.75" hidden="1" customHeight="1" x14ac:dyDescent="0.25">
      <c r="B128" s="42" t="str">
        <f>'[1]1 lentelė'!B123</f>
        <v>2.3.1</v>
      </c>
      <c r="C128" s="42"/>
      <c r="D128" s="42" t="str">
        <f>'[1]1 lentelė'!D123</f>
        <v>Uždavinys: Sukurti infrastruktūrą ir palankią aplinką vidaus ir užsienio investuotojams</v>
      </c>
      <c r="E128" s="42"/>
      <c r="F128" s="42"/>
      <c r="G128" s="43"/>
      <c r="H128" s="42"/>
      <c r="I128" s="42"/>
      <c r="J128" s="43"/>
      <c r="K128" s="42"/>
      <c r="L128" s="42"/>
      <c r="M128" s="43"/>
      <c r="N128" s="42"/>
      <c r="O128" s="42"/>
      <c r="P128" s="43"/>
      <c r="Q128" s="42"/>
      <c r="R128" s="42"/>
      <c r="S128" s="43"/>
      <c r="T128" s="42"/>
      <c r="U128" s="42"/>
      <c r="V128" s="43"/>
    </row>
    <row r="129" spans="2:22" ht="201.75" hidden="1" customHeight="1" x14ac:dyDescent="0.25">
      <c r="B129" s="44" t="str">
        <f>'[1]1 lentelė'!B124</f>
        <v>2.3.1.1</v>
      </c>
      <c r="C129" s="44"/>
      <c r="D129" s="44" t="str">
        <f>'[1]1 lentelė'!D124</f>
        <v>Priemonė: Sukurti ir (arba) išplėtoti pramoninių parkų infrastruktūrą ir taip sudaryti sąlygas pritraukti tiesioginių užsienio investicijų sumanios specializacijos srityse (valstybinė SMART PARK LT)</v>
      </c>
      <c r="E129" s="44"/>
      <c r="F129" s="44"/>
      <c r="G129" s="44"/>
      <c r="H129" s="44"/>
      <c r="I129" s="44"/>
      <c r="J129" s="44"/>
      <c r="K129" s="44"/>
      <c r="L129" s="44"/>
      <c r="M129" s="44"/>
      <c r="N129" s="44"/>
      <c r="O129" s="44"/>
      <c r="P129" s="44"/>
      <c r="Q129" s="44"/>
      <c r="R129" s="44"/>
      <c r="S129" s="44"/>
      <c r="T129" s="44"/>
      <c r="U129" s="44"/>
      <c r="V129" s="44"/>
    </row>
    <row r="130" spans="2:22" ht="134.25" hidden="1" customHeight="1" x14ac:dyDescent="0.25">
      <c r="B130" s="29" t="str">
        <f>'[1]1 lentelė'!B125</f>
        <v>2.3.1.1.1</v>
      </c>
      <c r="C130" s="29" t="str">
        <f>'[1]1 lentelė'!C125</f>
        <v>R098830-360000-2301</v>
      </c>
      <c r="D130" s="29" t="str">
        <f>'[1]1 lentelė'!D125</f>
        <v>Investicijos į Visagine kuriamo pramoninio parko (SMART PARK) inžinerinius tinklus ir susisiekimo komunikacijas bei pramoninio parko rinkodarą</v>
      </c>
      <c r="E130" s="23" t="s">
        <v>726</v>
      </c>
      <c r="F130" s="23" t="s">
        <v>748</v>
      </c>
      <c r="G130" s="23">
        <v>9</v>
      </c>
      <c r="H130" s="23"/>
      <c r="I130" s="23"/>
      <c r="J130" s="23"/>
      <c r="K130" s="23"/>
      <c r="L130" s="23"/>
      <c r="M130" s="23"/>
      <c r="N130" s="23"/>
      <c r="O130" s="23"/>
      <c r="P130" s="23"/>
      <c r="Q130" s="48"/>
      <c r="R130" s="48"/>
      <c r="S130" s="48"/>
      <c r="T130" s="48"/>
      <c r="U130" s="48"/>
      <c r="V130" s="48"/>
    </row>
    <row r="131" spans="2:22" ht="54" hidden="1" customHeight="1" x14ac:dyDescent="0.25">
      <c r="B131" s="42" t="str">
        <f>'[1]1 lentelė'!B126</f>
        <v>2.3.2</v>
      </c>
      <c r="C131" s="42"/>
      <c r="D131" s="42" t="str">
        <f>'[1]1 lentelė'!D126</f>
        <v>Uždavinys: Skatinti bendruomeninį-socialinį verslą</v>
      </c>
      <c r="E131" s="42"/>
      <c r="F131" s="43"/>
      <c r="G131" s="43"/>
      <c r="H131" s="42"/>
      <c r="I131" s="42"/>
      <c r="J131" s="43"/>
      <c r="K131" s="43"/>
      <c r="L131" s="42"/>
      <c r="M131" s="42"/>
      <c r="N131" s="43"/>
      <c r="O131" s="43"/>
      <c r="P131" s="42"/>
      <c r="Q131" s="43"/>
      <c r="R131" s="42"/>
      <c r="S131" s="42"/>
      <c r="T131" s="43"/>
      <c r="U131" s="43"/>
      <c r="V131" s="42"/>
    </row>
    <row r="132" spans="2:22" ht="57.75" hidden="1" customHeight="1" x14ac:dyDescent="0.25">
      <c r="B132" s="44" t="str">
        <f>'[1]1 lentelė'!B127</f>
        <v>2.3.2.1</v>
      </c>
      <c r="C132" s="44"/>
      <c r="D132" s="44" t="str">
        <f>'[1]1 lentelė'!D127</f>
        <v>Priemonė: konkursinė, VVG strategijų įgyvendinimas</v>
      </c>
      <c r="E132" s="44"/>
      <c r="F132" s="44"/>
      <c r="G132" s="44"/>
      <c r="H132" s="44"/>
      <c r="I132" s="44"/>
      <c r="J132" s="44"/>
      <c r="K132" s="44"/>
      <c r="L132" s="44"/>
      <c r="M132" s="44"/>
      <c r="N132" s="44"/>
      <c r="O132" s="44"/>
      <c r="P132" s="44"/>
      <c r="Q132" s="44"/>
      <c r="R132" s="44"/>
      <c r="S132" s="44"/>
      <c r="T132" s="44"/>
      <c r="U132" s="44"/>
      <c r="V132" s="44"/>
    </row>
    <row r="133" spans="2:22" ht="93" hidden="1" customHeight="1" x14ac:dyDescent="0.25">
      <c r="B133" s="20" t="str">
        <f>'[1]1 lentelė'!B128</f>
        <v>2.3.3</v>
      </c>
      <c r="C133" s="20"/>
      <c r="D133" s="20" t="str">
        <f>'[1]1 lentelė'!D128</f>
        <v>Uždavinys:  Didinti regiono konkurencingumą skatinant tarpregioninį bendradarbiavimą ir partnerystę</v>
      </c>
      <c r="E133" s="20"/>
      <c r="F133" s="20"/>
      <c r="G133" s="19"/>
      <c r="H133" s="20"/>
      <c r="I133" s="20"/>
      <c r="J133" s="19"/>
      <c r="K133" s="20"/>
      <c r="L133" s="20"/>
      <c r="M133" s="19"/>
      <c r="N133" s="20"/>
      <c r="O133" s="20"/>
      <c r="P133" s="19"/>
      <c r="Q133" s="20"/>
      <c r="R133" s="20"/>
      <c r="S133" s="19"/>
      <c r="T133" s="20"/>
      <c r="U133" s="20"/>
      <c r="V133" s="19"/>
    </row>
    <row r="134" spans="2:22" ht="54.75" hidden="1" customHeight="1" x14ac:dyDescent="0.25">
      <c r="B134" s="44" t="str">
        <f>'[1]1 lentelė'!B129</f>
        <v>2.3.3.1</v>
      </c>
      <c r="C134" s="44"/>
      <c r="D134" s="44" t="str">
        <f>'[1]1 lentelė'!D129</f>
        <v>Priemonė: Skatinti užimtumą regione</v>
      </c>
      <c r="E134" s="44"/>
      <c r="F134" s="44"/>
      <c r="G134" s="44"/>
      <c r="H134" s="44"/>
      <c r="I134" s="44"/>
      <c r="J134" s="44"/>
      <c r="K134" s="44"/>
      <c r="L134" s="44"/>
      <c r="M134" s="44"/>
      <c r="N134" s="44"/>
      <c r="O134" s="44"/>
      <c r="P134" s="44"/>
      <c r="Q134" s="44"/>
      <c r="R134" s="44"/>
      <c r="S134" s="44"/>
      <c r="T134" s="44"/>
      <c r="U134" s="44"/>
      <c r="V134" s="44"/>
    </row>
    <row r="135" spans="2:22" ht="108" hidden="1" customHeight="1" x14ac:dyDescent="0.25">
      <c r="B135" s="29" t="str">
        <f>'[1]1 lentelė'!B130</f>
        <v>2.3.3.1.1</v>
      </c>
      <c r="C135" s="29" t="str">
        <f>'[1]1 lentelė'!C130</f>
        <v>R09B000-510000-2302</v>
      </c>
      <c r="D135" s="29" t="str">
        <f>'[1]1 lentelė'!D130</f>
        <v>Pasaulinio medicininių produktų gamintojo plėtros projektas                         (URPT 2018-06-07 sprendimas Nr.51/7S-31)</v>
      </c>
      <c r="E135" s="26" t="s">
        <v>749</v>
      </c>
      <c r="F135" s="26" t="s">
        <v>750</v>
      </c>
      <c r="G135" s="26">
        <v>200</v>
      </c>
      <c r="H135" s="26"/>
      <c r="I135" s="26"/>
      <c r="J135" s="26"/>
      <c r="K135" s="26"/>
      <c r="L135" s="26"/>
      <c r="M135" s="26"/>
      <c r="N135" s="26"/>
      <c r="O135" s="26"/>
      <c r="P135" s="26"/>
      <c r="Q135" s="48"/>
      <c r="R135" s="48"/>
      <c r="S135" s="48"/>
      <c r="T135" s="48"/>
      <c r="U135" s="48"/>
      <c r="V135" s="48"/>
    </row>
    <row r="136" spans="2:22" ht="57" hidden="1" customHeight="1" x14ac:dyDescent="0.25">
      <c r="B136" s="73" t="str">
        <f>'[1]1 lentelė'!B131</f>
        <v>3.</v>
      </c>
      <c r="C136" s="73"/>
      <c r="D136" s="57" t="str">
        <f>'[1]1 lentelė'!D131</f>
        <v>Prioritetas: Gyvenimo kokybės gerinimas</v>
      </c>
      <c r="E136" s="57"/>
      <c r="F136" s="57"/>
      <c r="G136" s="57"/>
      <c r="H136" s="57"/>
      <c r="I136" s="57"/>
      <c r="J136" s="57"/>
      <c r="K136" s="57"/>
      <c r="L136" s="57"/>
      <c r="M136" s="57"/>
      <c r="N136" s="57"/>
      <c r="O136" s="57"/>
      <c r="P136" s="57"/>
      <c r="Q136" s="57"/>
      <c r="R136" s="57"/>
      <c r="S136" s="57"/>
      <c r="T136" s="57"/>
      <c r="U136" s="57"/>
      <c r="V136" s="57"/>
    </row>
    <row r="137" spans="2:22" ht="69.75" hidden="1" customHeight="1" x14ac:dyDescent="0.25">
      <c r="B137" s="46" t="str">
        <f>'[1]1 lentelė'!B132</f>
        <v xml:space="preserve">3.1 </v>
      </c>
      <c r="C137" s="46"/>
      <c r="D137" s="46" t="str">
        <f>'[1]1 lentelė'!D132</f>
        <v>Tikslas: Mokymosi visą gyvenimą ir kūrybiškumo skatinimas</v>
      </c>
      <c r="E137" s="46"/>
      <c r="F137" s="45"/>
      <c r="G137" s="46"/>
      <c r="H137" s="46"/>
      <c r="I137" s="46"/>
      <c r="J137" s="46"/>
      <c r="K137" s="45"/>
      <c r="L137" s="46"/>
      <c r="M137" s="46"/>
      <c r="N137" s="46"/>
      <c r="O137" s="46"/>
      <c r="P137" s="45"/>
      <c r="Q137" s="45"/>
      <c r="R137" s="45"/>
      <c r="S137" s="45"/>
      <c r="T137" s="45"/>
      <c r="U137" s="45"/>
      <c r="V137" s="45"/>
    </row>
    <row r="138" spans="2:22" ht="81.75" hidden="1" customHeight="1" x14ac:dyDescent="0.25">
      <c r="B138" s="42" t="str">
        <f>'[1]1 lentelė'!B133</f>
        <v>3.1.1</v>
      </c>
      <c r="C138" s="42"/>
      <c r="D138" s="42" t="str">
        <f>'[1]1 lentelė'!D133</f>
        <v>Uždavinys: Gerinti švietimo kokybę, modernizuojant švietimo infrastruktūrą</v>
      </c>
      <c r="E138" s="42"/>
      <c r="F138" s="43"/>
      <c r="G138" s="43"/>
      <c r="H138" s="42"/>
      <c r="I138" s="42"/>
      <c r="J138" s="43"/>
      <c r="K138" s="43"/>
      <c r="L138" s="42"/>
      <c r="M138" s="42"/>
      <c r="N138" s="43"/>
      <c r="O138" s="43"/>
      <c r="P138" s="42"/>
      <c r="Q138" s="42"/>
      <c r="R138" s="42"/>
      <c r="S138" s="42"/>
      <c r="T138" s="42"/>
      <c r="U138" s="42"/>
      <c r="V138" s="42"/>
    </row>
    <row r="139" spans="2:22" ht="81" hidden="1" customHeight="1" x14ac:dyDescent="0.25">
      <c r="B139" s="44" t="str">
        <f>'[1]1 lentelė'!B134</f>
        <v>3.1.1.1</v>
      </c>
      <c r="C139" s="44"/>
      <c r="D139" s="42" t="str">
        <f>'[1]1 lentelė'!D134</f>
        <v>Priemonė: Ikimokyklinio ir priešmokyklinio ugdymo prieinamumo didinimas</v>
      </c>
      <c r="E139" s="44"/>
      <c r="F139" s="44"/>
      <c r="G139" s="44"/>
      <c r="H139" s="44"/>
      <c r="I139" s="44"/>
      <c r="J139" s="44"/>
      <c r="K139" s="44"/>
      <c r="L139" s="44"/>
      <c r="M139" s="44"/>
      <c r="N139" s="44"/>
      <c r="O139" s="44"/>
      <c r="P139" s="44"/>
      <c r="Q139" s="44"/>
      <c r="R139" s="44"/>
      <c r="S139" s="44"/>
      <c r="T139" s="44"/>
      <c r="U139" s="44"/>
      <c r="V139" s="44"/>
    </row>
    <row r="140" spans="2:22" ht="117.75" hidden="1" customHeight="1" x14ac:dyDescent="0.25">
      <c r="B140" s="29" t="str">
        <f>'[1]1 lentelė'!B136</f>
        <v>3.1.1.1.2</v>
      </c>
      <c r="C140" s="29" t="str">
        <f>'[1]1 lentelė'!C136</f>
        <v>R097705-230000-3102</v>
      </c>
      <c r="D140" s="29" t="s">
        <v>1509</v>
      </c>
      <c r="E140" s="26" t="s">
        <v>1400</v>
      </c>
      <c r="F140" s="26" t="s">
        <v>1401</v>
      </c>
      <c r="G140" s="26">
        <v>1</v>
      </c>
      <c r="H140" s="26" t="s">
        <v>1402</v>
      </c>
      <c r="I140" s="26" t="s">
        <v>1403</v>
      </c>
      <c r="J140" s="26">
        <v>4</v>
      </c>
      <c r="K140" s="26" t="s">
        <v>1404</v>
      </c>
      <c r="L140" s="26" t="s">
        <v>1405</v>
      </c>
      <c r="M140" s="26">
        <v>190</v>
      </c>
      <c r="N140" s="26" t="s">
        <v>1406</v>
      </c>
      <c r="O140" s="26" t="s">
        <v>1407</v>
      </c>
      <c r="P140" s="26">
        <v>70</v>
      </c>
      <c r="Q140" s="48"/>
      <c r="R140" s="48"/>
      <c r="S140" s="48"/>
      <c r="T140" s="48"/>
      <c r="U140" s="48"/>
      <c r="V140" s="48"/>
    </row>
    <row r="141" spans="2:22" ht="117.75" hidden="1" customHeight="1" x14ac:dyDescent="0.25">
      <c r="B141" s="29" t="str">
        <f>'[1]1 lentelė'!B137</f>
        <v>3.1.1.1.3</v>
      </c>
      <c r="C141" s="29" t="str">
        <f>'[1]1 lentelė'!C137</f>
        <v>R097705-230000-3103</v>
      </c>
      <c r="D141" s="29" t="str">
        <f>'1 lentelė'!D143</f>
        <v>Utenos vaikų lopšelio – darželio ,,Pasaka" vidaus patalpų modernizavimas</v>
      </c>
      <c r="E141" s="26" t="s">
        <v>1400</v>
      </c>
      <c r="F141" s="26" t="s">
        <v>1401</v>
      </c>
      <c r="G141" s="26">
        <v>1</v>
      </c>
      <c r="H141" s="26" t="s">
        <v>1402</v>
      </c>
      <c r="I141" s="26" t="s">
        <v>1403</v>
      </c>
      <c r="J141" s="26">
        <v>3</v>
      </c>
      <c r="K141" s="26" t="s">
        <v>1404</v>
      </c>
      <c r="L141" s="26" t="s">
        <v>1405</v>
      </c>
      <c r="M141" s="26">
        <v>210</v>
      </c>
      <c r="N141" s="26" t="s">
        <v>1406</v>
      </c>
      <c r="O141" s="26" t="s">
        <v>1407</v>
      </c>
      <c r="P141" s="26">
        <v>50</v>
      </c>
      <c r="Q141" s="48"/>
      <c r="R141" s="48"/>
      <c r="S141" s="48"/>
      <c r="T141" s="48"/>
      <c r="U141" s="48"/>
      <c r="V141" s="48"/>
    </row>
    <row r="142" spans="2:22" ht="55.5" hidden="1" customHeight="1" x14ac:dyDescent="0.25">
      <c r="B142" s="44" t="str">
        <f>'[1]1 lentelė'!B138</f>
        <v>3.1.1.2</v>
      </c>
      <c r="C142" s="44"/>
      <c r="D142" s="44" t="s">
        <v>462</v>
      </c>
      <c r="E142" s="44"/>
      <c r="F142" s="44"/>
      <c r="G142" s="44"/>
      <c r="H142" s="44"/>
      <c r="I142" s="44"/>
      <c r="J142" s="44"/>
      <c r="K142" s="44"/>
      <c r="L142" s="44"/>
      <c r="M142" s="44"/>
      <c r="N142" s="44"/>
      <c r="O142" s="44"/>
      <c r="P142" s="44"/>
      <c r="Q142" s="44"/>
      <c r="R142" s="44"/>
      <c r="S142" s="44"/>
      <c r="T142" s="44"/>
      <c r="U142" s="44"/>
      <c r="V142" s="44"/>
    </row>
    <row r="143" spans="2:22" ht="101.25" hidden="1" customHeight="1" x14ac:dyDescent="0.25">
      <c r="B143" s="29" t="str">
        <f>'[1]1 lentelė'!B139</f>
        <v>3.1.1.2.1</v>
      </c>
      <c r="C143" s="29" t="str">
        <f>'[1]1 lentelė'!C139</f>
        <v>R097724-220000-3103</v>
      </c>
      <c r="D143" s="29" t="str">
        <f>'1 lentelė'!D145</f>
        <v xml:space="preserve">Anykščių miesto A.Vienuolio progimnazijos modernizavimas (vidaus erdvių remontas ir aprūpinimas įranga) </v>
      </c>
      <c r="E143" s="26" t="s">
        <v>1408</v>
      </c>
      <c r="F143" s="26" t="s">
        <v>1409</v>
      </c>
      <c r="G143" s="26">
        <v>1</v>
      </c>
      <c r="H143" s="26" t="s">
        <v>1404</v>
      </c>
      <c r="I143" s="26" t="s">
        <v>1405</v>
      </c>
      <c r="J143" s="26">
        <v>470</v>
      </c>
      <c r="K143" s="23"/>
      <c r="L143" s="23"/>
      <c r="M143" s="23"/>
      <c r="N143" s="23"/>
      <c r="O143" s="23"/>
      <c r="P143" s="23"/>
      <c r="Q143" s="48"/>
      <c r="R143" s="48"/>
      <c r="S143" s="48"/>
      <c r="T143" s="48"/>
      <c r="U143" s="48"/>
      <c r="V143" s="48"/>
    </row>
    <row r="144" spans="2:22" ht="110.25" hidden="1" customHeight="1" x14ac:dyDescent="0.25">
      <c r="B144" s="29" t="str">
        <f>'[1]1 lentelė'!B140</f>
        <v>3.1.1.2.2</v>
      </c>
      <c r="C144" s="29" t="str">
        <f>'[1]1 lentelė'!C140</f>
        <v>R097724-220000-3104</v>
      </c>
      <c r="D144" s="29" t="str">
        <f>'1 lentelė'!D146</f>
        <v xml:space="preserve">„Kūrybiškumą skatinančių edukacinių erdvių kūrimas Molėtų gimnazijos vidaus patalpose“ </v>
      </c>
      <c r="E144" s="23" t="s">
        <v>1408</v>
      </c>
      <c r="F144" s="23" t="s">
        <v>1409</v>
      </c>
      <c r="G144" s="26">
        <v>1</v>
      </c>
      <c r="H144" s="23" t="s">
        <v>1404</v>
      </c>
      <c r="I144" s="23" t="s">
        <v>1405</v>
      </c>
      <c r="J144" s="23">
        <v>447</v>
      </c>
      <c r="K144" s="23"/>
      <c r="L144" s="23"/>
      <c r="M144" s="23"/>
      <c r="N144" s="23"/>
      <c r="O144" s="23"/>
      <c r="P144" s="23"/>
      <c r="Q144" s="48"/>
      <c r="R144" s="48"/>
      <c r="S144" s="48"/>
      <c r="T144" s="48"/>
      <c r="U144" s="48"/>
      <c r="V144" s="48"/>
    </row>
    <row r="145" spans="2:22" ht="101.25" hidden="1" customHeight="1" x14ac:dyDescent="0.25">
      <c r="B145" s="29" t="str">
        <f>'[1]1 lentelė'!B141</f>
        <v>3.1.1.2.3</v>
      </c>
      <c r="C145" s="29" t="str">
        <f>'[1]1 lentelė'!C141</f>
        <v>R097724-220000-3105</v>
      </c>
      <c r="D145" s="29" t="str">
        <f>'1 lentelė'!D147</f>
        <v xml:space="preserve">„Edukacinių erdvių kūrimas Ignalinos Česlovo Kudabos progimnazijoje“ </v>
      </c>
      <c r="E145" s="23" t="s">
        <v>1408</v>
      </c>
      <c r="F145" s="23" t="s">
        <v>1409</v>
      </c>
      <c r="G145" s="26">
        <v>1</v>
      </c>
      <c r="H145" s="23" t="s">
        <v>1404</v>
      </c>
      <c r="I145" s="23" t="s">
        <v>1405</v>
      </c>
      <c r="J145" s="23">
        <v>500</v>
      </c>
      <c r="K145" s="23"/>
      <c r="L145" s="23"/>
      <c r="M145" s="23"/>
      <c r="N145" s="23"/>
      <c r="O145" s="23"/>
      <c r="P145" s="23"/>
      <c r="Q145" s="48"/>
      <c r="R145" s="48"/>
      <c r="S145" s="48"/>
      <c r="T145" s="48"/>
      <c r="U145" s="48"/>
      <c r="V145" s="48"/>
    </row>
    <row r="146" spans="2:22" ht="65.25" hidden="1" customHeight="1" x14ac:dyDescent="0.25">
      <c r="B146" s="42" t="str">
        <f>'[1]1 lentelė'!B142</f>
        <v>3.1.2</v>
      </c>
      <c r="C146" s="42"/>
      <c r="D146" s="42" t="str">
        <f>'1 lentelė'!D148</f>
        <v>Uždavinys: Plėtoti neformalaus ugdymosi galimybes</v>
      </c>
      <c r="E146" s="42"/>
      <c r="F146" s="42"/>
      <c r="G146" s="42"/>
      <c r="H146" s="43"/>
      <c r="I146" s="43"/>
      <c r="J146" s="43"/>
      <c r="K146" s="42"/>
      <c r="L146" s="42"/>
      <c r="M146" s="43"/>
      <c r="N146" s="43"/>
      <c r="O146" s="43"/>
      <c r="P146" s="42"/>
      <c r="Q146" s="42"/>
      <c r="R146" s="42"/>
      <c r="S146" s="42"/>
      <c r="T146" s="42"/>
      <c r="U146" s="42"/>
      <c r="V146" s="42"/>
    </row>
    <row r="147" spans="2:22" ht="67.5" hidden="1" customHeight="1" x14ac:dyDescent="0.25">
      <c r="B147" s="44" t="str">
        <f>'[1]1 lentelė'!B143</f>
        <v>3.1.2.1</v>
      </c>
      <c r="C147" s="44"/>
      <c r="D147" s="44" t="str">
        <f>'1 lentelė'!D149</f>
        <v>Priemonė: Neformaliojo švietimo infrastruktūros tobulinimas</v>
      </c>
      <c r="E147" s="44"/>
      <c r="F147" s="44"/>
      <c r="G147" s="44"/>
      <c r="H147" s="44"/>
      <c r="I147" s="44"/>
      <c r="J147" s="44"/>
      <c r="K147" s="44"/>
      <c r="L147" s="44"/>
      <c r="M147" s="44"/>
      <c r="N147" s="44"/>
      <c r="O147" s="44"/>
      <c r="P147" s="44"/>
      <c r="Q147" s="44"/>
      <c r="R147" s="44"/>
      <c r="S147" s="44"/>
      <c r="T147" s="44"/>
      <c r="U147" s="44"/>
      <c r="V147" s="44"/>
    </row>
    <row r="148" spans="2:22" ht="147" hidden="1" customHeight="1" x14ac:dyDescent="0.25">
      <c r="B148" s="29" t="str">
        <f>'[1]1 lentelė'!B144</f>
        <v>3.1.2.1.1</v>
      </c>
      <c r="C148" s="29" t="str">
        <f>'[1]1 lentelė'!C144</f>
        <v>R097725-240000-3106</v>
      </c>
      <c r="D148" s="29" t="str">
        <f>'1 lentelė'!D150</f>
        <v xml:space="preserve">Vaikų ir jaunimo neformalaus ugdymosi galimybių plėtra Anykščių kūno kultūros ir sporto centrui priklausančiuose A. Vienuolio progimnazijos patalpose </v>
      </c>
      <c r="E148" s="23" t="s">
        <v>1410</v>
      </c>
      <c r="F148" s="23" t="s">
        <v>1411</v>
      </c>
      <c r="G148" s="26">
        <v>1</v>
      </c>
      <c r="H148" s="26" t="s">
        <v>1404</v>
      </c>
      <c r="I148" s="26" t="s">
        <v>1405</v>
      </c>
      <c r="J148" s="26">
        <v>355</v>
      </c>
      <c r="K148" s="23"/>
      <c r="L148" s="23"/>
      <c r="M148" s="23"/>
      <c r="N148" s="23"/>
      <c r="O148" s="23"/>
      <c r="P148" s="23"/>
      <c r="Q148" s="48"/>
      <c r="R148" s="48"/>
      <c r="S148" s="48"/>
      <c r="T148" s="48"/>
      <c r="U148" s="48"/>
      <c r="V148" s="48"/>
    </row>
    <row r="149" spans="2:22" ht="89.25" hidden="1" x14ac:dyDescent="0.25">
      <c r="B149" s="29" t="str">
        <f>'[1]1 lentelė'!B145</f>
        <v xml:space="preserve">3.1.2.1.2 </v>
      </c>
      <c r="C149" s="29" t="str">
        <f>'[1]1 lentelė'!C145</f>
        <v>R097725-243200-3107</v>
      </c>
      <c r="D149" s="29" t="str">
        <f>'1 lentelė'!D151</f>
        <v>Zarasų sporto centro erdvių atnaujinimas</v>
      </c>
      <c r="E149" s="23" t="s">
        <v>1410</v>
      </c>
      <c r="F149" s="23" t="s">
        <v>1411</v>
      </c>
      <c r="G149" s="26">
        <v>1</v>
      </c>
      <c r="H149" s="26" t="s">
        <v>1404</v>
      </c>
      <c r="I149" s="26" t="s">
        <v>1405</v>
      </c>
      <c r="J149" s="26">
        <v>330</v>
      </c>
      <c r="K149" s="23"/>
      <c r="L149" s="23"/>
      <c r="M149" s="23"/>
      <c r="N149" s="23"/>
      <c r="O149" s="23"/>
      <c r="P149" s="23"/>
      <c r="Q149" s="48"/>
      <c r="R149" s="48"/>
      <c r="S149" s="48"/>
      <c r="T149" s="48"/>
      <c r="U149" s="48"/>
      <c r="V149" s="48"/>
    </row>
    <row r="150" spans="2:22" ht="52.5" hidden="1" customHeight="1" x14ac:dyDescent="0.25">
      <c r="B150" s="46" t="str">
        <f>'[1]1 lentelė'!B146</f>
        <v xml:space="preserve">3.2 </v>
      </c>
      <c r="C150" s="46"/>
      <c r="D150" s="46" t="str">
        <f>'1 lentelė'!D152</f>
        <v>Tikslas: Viešųjų paslaugų prieinamumo didinimas</v>
      </c>
      <c r="E150" s="46"/>
      <c r="F150" s="46"/>
      <c r="G150" s="46"/>
      <c r="H150" s="45"/>
      <c r="I150" s="46"/>
      <c r="J150" s="46"/>
      <c r="K150" s="46"/>
      <c r="L150" s="45"/>
      <c r="M150" s="46"/>
      <c r="N150" s="46"/>
      <c r="O150" s="46"/>
      <c r="P150" s="45"/>
      <c r="Q150" s="45"/>
      <c r="R150" s="45"/>
      <c r="S150" s="45"/>
      <c r="T150" s="45"/>
      <c r="U150" s="45"/>
      <c r="V150" s="45"/>
    </row>
    <row r="151" spans="2:22" ht="78" hidden="1" customHeight="1" x14ac:dyDescent="0.25">
      <c r="B151" s="42" t="str">
        <f>'[1]1 lentelė'!B147</f>
        <v>3.2.1</v>
      </c>
      <c r="C151" s="42"/>
      <c r="D151" s="42" t="str">
        <f>'1 lentelė'!D153</f>
        <v>Uždavinys: Užtikrinti kokybišką ir prieinamą sveikatos priežiūrą</v>
      </c>
      <c r="E151" s="42"/>
      <c r="F151" s="42"/>
      <c r="G151" s="42"/>
      <c r="H151" s="43"/>
      <c r="I151" s="43"/>
      <c r="J151" s="43"/>
      <c r="K151" s="42"/>
      <c r="L151" s="42"/>
      <c r="M151" s="43"/>
      <c r="N151" s="43"/>
      <c r="O151" s="43"/>
      <c r="P151" s="42"/>
      <c r="Q151" s="42"/>
      <c r="R151" s="42"/>
      <c r="S151" s="42"/>
      <c r="T151" s="42"/>
      <c r="U151" s="42"/>
      <c r="V151" s="42"/>
    </row>
    <row r="152" spans="2:22" ht="92.25" hidden="1" customHeight="1" x14ac:dyDescent="0.25">
      <c r="B152" s="44" t="str">
        <f>'[1]1 lentelė'!B148</f>
        <v>3.2.1.1</v>
      </c>
      <c r="C152" s="44"/>
      <c r="D152" s="44" t="str">
        <f>'1 lentelė'!D154</f>
        <v>Priemonė: Pirminės asmens ir visuomenės sveikatos priežiūros veiklos efektyvumo didinimas</v>
      </c>
      <c r="E152" s="44"/>
      <c r="F152" s="44"/>
      <c r="G152" s="44"/>
      <c r="H152" s="44"/>
      <c r="I152" s="44"/>
      <c r="J152" s="44"/>
      <c r="K152" s="44"/>
      <c r="L152" s="44"/>
      <c r="M152" s="44"/>
      <c r="N152" s="44"/>
      <c r="O152" s="44"/>
      <c r="P152" s="44"/>
      <c r="Q152" s="44"/>
      <c r="R152" s="44"/>
      <c r="S152" s="44"/>
      <c r="T152" s="44"/>
      <c r="U152" s="44"/>
      <c r="V152" s="44"/>
    </row>
    <row r="153" spans="2:22" ht="191.25" hidden="1" x14ac:dyDescent="0.25">
      <c r="B153" s="29" t="str">
        <f>'[1]1 lentelė'!B149</f>
        <v>3.2.1.1.1</v>
      </c>
      <c r="C153" s="29" t="str">
        <f>'[1]1 lentelė'!C149</f>
        <v>R096609-270000-3236</v>
      </c>
      <c r="D153" s="29" t="str">
        <f>'1 lentelė'!D155</f>
        <v>Anykščių rajono savivaldybės gyventojų sveikatos stiprinimas gerinant pirminės sveikatos priežiūros paslaugų prieinamumą ir kokybę</v>
      </c>
      <c r="E153" s="29" t="s">
        <v>1412</v>
      </c>
      <c r="F153" s="29" t="s">
        <v>1413</v>
      </c>
      <c r="G153" s="29">
        <v>21285</v>
      </c>
      <c r="H153" s="29" t="s">
        <v>1414</v>
      </c>
      <c r="I153" s="29" t="s">
        <v>1415</v>
      </c>
      <c r="J153" s="29">
        <v>1</v>
      </c>
      <c r="K153" s="29"/>
      <c r="L153" s="29"/>
      <c r="M153" s="29"/>
      <c r="N153" s="29"/>
      <c r="O153" s="29"/>
      <c r="P153" s="29"/>
      <c r="Q153" s="48"/>
      <c r="R153" s="48"/>
      <c r="S153" s="48"/>
      <c r="T153" s="48"/>
      <c r="U153" s="48"/>
      <c r="V153" s="48"/>
    </row>
    <row r="154" spans="2:22" ht="191.25" hidden="1" x14ac:dyDescent="0.25">
      <c r="B154" s="29" t="str">
        <f>'[1]1 lentelė'!B150</f>
        <v>3.2.1.1.2</v>
      </c>
      <c r="C154" s="29" t="str">
        <f>'[1]1 lentelė'!C150</f>
        <v>R096609-270000-3237</v>
      </c>
      <c r="D154" s="29" t="str">
        <f>'1 lentelė'!D156</f>
        <v>Pirminės sveikatos paslaugų gerinimas VšĮ Ignalinos rajono poliklinikoje</v>
      </c>
      <c r="E154" s="29" t="s">
        <v>1412</v>
      </c>
      <c r="F154" s="29" t="s">
        <v>1413</v>
      </c>
      <c r="G154" s="29">
        <v>6931</v>
      </c>
      <c r="H154" s="29" t="s">
        <v>1414</v>
      </c>
      <c r="I154" s="29" t="s">
        <v>1415</v>
      </c>
      <c r="J154" s="29">
        <v>1</v>
      </c>
      <c r="K154" s="26"/>
      <c r="L154" s="26"/>
      <c r="M154" s="26"/>
      <c r="N154" s="26"/>
      <c r="O154" s="26"/>
      <c r="P154" s="26"/>
      <c r="Q154" s="48"/>
      <c r="R154" s="48"/>
      <c r="S154" s="48"/>
      <c r="T154" s="48"/>
      <c r="U154" s="48"/>
      <c r="V154" s="48"/>
    </row>
    <row r="155" spans="2:22" ht="191.25" hidden="1" x14ac:dyDescent="0.25">
      <c r="B155" s="29" t="str">
        <f>'[1]1 lentelė'!B151</f>
        <v>3.2.1.1.3</v>
      </c>
      <c r="C155" s="29" t="str">
        <f>'[1]1 lentelė'!C151</f>
        <v>R096609-270000-3238</v>
      </c>
      <c r="D155" s="29" t="str">
        <f>'1 lentelė'!D157</f>
        <v>UAB „Ignalinos sveikatos centras“ pirminės asmens sveikatos priežiūros paslaugų teikimo efektyvumo didinimas</v>
      </c>
      <c r="E155" s="26" t="s">
        <v>1412</v>
      </c>
      <c r="F155" s="26" t="s">
        <v>1413</v>
      </c>
      <c r="G155" s="26">
        <v>6363</v>
      </c>
      <c r="H155" s="26" t="s">
        <v>1414</v>
      </c>
      <c r="I155" s="26" t="s">
        <v>1415</v>
      </c>
      <c r="J155" s="26">
        <v>1</v>
      </c>
      <c r="K155" s="26"/>
      <c r="L155" s="26"/>
      <c r="M155" s="26"/>
      <c r="N155" s="26"/>
      <c r="O155" s="26"/>
      <c r="P155" s="26"/>
      <c r="Q155" s="48"/>
      <c r="R155" s="48"/>
      <c r="S155" s="48"/>
      <c r="T155" s="48"/>
      <c r="U155" s="48"/>
      <c r="V155" s="48"/>
    </row>
    <row r="156" spans="2:22" ht="191.25" hidden="1" x14ac:dyDescent="0.25">
      <c r="B156" s="29" t="str">
        <f>'[1]1 lentelė'!B152</f>
        <v>3.2.1.1.4</v>
      </c>
      <c r="C156" s="29" t="str">
        <f>'[1]1 lentelė'!C152</f>
        <v>R096609-270000-3239</v>
      </c>
      <c r="D156" s="29" t="str">
        <f>'1 lentelė'!D158</f>
        <v>Molėtų r. pirminės sveikatos priežiūros centro veiklos efektyvumo didinimas</v>
      </c>
      <c r="E156" s="26" t="s">
        <v>1412</v>
      </c>
      <c r="F156" s="26" t="s">
        <v>1413</v>
      </c>
      <c r="G156" s="26">
        <v>15617</v>
      </c>
      <c r="H156" s="26" t="s">
        <v>1414</v>
      </c>
      <c r="I156" s="26" t="s">
        <v>1415</v>
      </c>
      <c r="J156" s="26">
        <v>1</v>
      </c>
      <c r="K156" s="26"/>
      <c r="L156" s="26"/>
      <c r="M156" s="26"/>
      <c r="N156" s="26"/>
      <c r="O156" s="26"/>
      <c r="P156" s="26"/>
      <c r="Q156" s="48"/>
      <c r="R156" s="48"/>
      <c r="S156" s="48"/>
      <c r="T156" s="48"/>
      <c r="U156" s="48"/>
      <c r="V156" s="48"/>
    </row>
    <row r="157" spans="2:22" ht="191.25" hidden="1" x14ac:dyDescent="0.25">
      <c r="B157" s="29" t="str">
        <f>'[1]1 lentelė'!B153</f>
        <v>3.2.1.1.5</v>
      </c>
      <c r="C157" s="29" t="str">
        <f>'[1]1 lentelė'!C153</f>
        <v>R096609-270000-3240</v>
      </c>
      <c r="D157" s="29" t="str">
        <f>'1 lentelė'!D159</f>
        <v>Pirminės asmens sveikatos priežiūros veiklos efektyvumo didinimas Utenos rajone</v>
      </c>
      <c r="E157" s="26" t="s">
        <v>1412</v>
      </c>
      <c r="F157" s="26" t="s">
        <v>1413</v>
      </c>
      <c r="G157" s="26">
        <v>19722</v>
      </c>
      <c r="H157" s="26" t="s">
        <v>1414</v>
      </c>
      <c r="I157" s="26" t="s">
        <v>1415</v>
      </c>
      <c r="J157" s="26">
        <v>1</v>
      </c>
      <c r="K157" s="26"/>
      <c r="L157" s="26"/>
      <c r="M157" s="26"/>
      <c r="N157" s="26"/>
      <c r="O157" s="26"/>
      <c r="P157" s="26"/>
      <c r="Q157" s="48"/>
      <c r="R157" s="48"/>
      <c r="S157" s="48"/>
      <c r="T157" s="48"/>
      <c r="U157" s="48"/>
      <c r="V157" s="48"/>
    </row>
    <row r="158" spans="2:22" ht="191.25" hidden="1" x14ac:dyDescent="0.25">
      <c r="B158" s="29" t="str">
        <f>'[1]1 lentelė'!B154</f>
        <v>3.2.1.1.6</v>
      </c>
      <c r="C158" s="29" t="str">
        <f>'[1]1 lentelė'!C154</f>
        <v>R096609-270000-3241</v>
      </c>
      <c r="D158" s="29" t="str">
        <f>'1 lentelė'!D160</f>
        <v>UAB "Dilina" teikiamų paslaugų efektyvumo didinimas</v>
      </c>
      <c r="E158" s="26" t="s">
        <v>1412</v>
      </c>
      <c r="F158" s="26" t="s">
        <v>1413</v>
      </c>
      <c r="G158" s="26">
        <v>1615</v>
      </c>
      <c r="H158" s="26" t="s">
        <v>1414</v>
      </c>
      <c r="I158" s="26" t="s">
        <v>1415</v>
      </c>
      <c r="J158" s="26">
        <v>1</v>
      </c>
      <c r="K158" s="26"/>
      <c r="L158" s="26"/>
      <c r="M158" s="26"/>
      <c r="N158" s="26"/>
      <c r="O158" s="26"/>
      <c r="P158" s="26"/>
      <c r="Q158" s="48"/>
      <c r="R158" s="48"/>
      <c r="S158" s="48"/>
      <c r="T158" s="48"/>
      <c r="U158" s="48"/>
      <c r="V158" s="48"/>
    </row>
    <row r="159" spans="2:22" ht="191.25" hidden="1" x14ac:dyDescent="0.25">
      <c r="B159" s="29" t="str">
        <f>'[1]1 lentelė'!B155</f>
        <v>3.2.1.1.7</v>
      </c>
      <c r="C159" s="29" t="str">
        <f>'[1]1 lentelė'!C155</f>
        <v>R096609-270000-3242</v>
      </c>
      <c r="D159" s="29" t="str">
        <f>'1 lentelė'!D161</f>
        <v>Pirminės asmens sveikatos priežiūros paslaugų kokybės ir prieinamumo gerinimas Zarasų rajono savivaldybėje</v>
      </c>
      <c r="E159" s="26" t="s">
        <v>1412</v>
      </c>
      <c r="F159" s="26" t="s">
        <v>1413</v>
      </c>
      <c r="G159" s="26">
        <v>13690</v>
      </c>
      <c r="H159" s="26" t="s">
        <v>1414</v>
      </c>
      <c r="I159" s="26" t="s">
        <v>1415</v>
      </c>
      <c r="J159" s="26">
        <v>1</v>
      </c>
      <c r="K159" s="26"/>
      <c r="L159" s="26"/>
      <c r="M159" s="26"/>
      <c r="N159" s="26"/>
      <c r="O159" s="26"/>
      <c r="P159" s="26"/>
      <c r="Q159" s="48"/>
      <c r="R159" s="48"/>
      <c r="S159" s="48"/>
      <c r="T159" s="48"/>
      <c r="U159" s="48"/>
      <c r="V159" s="48"/>
    </row>
    <row r="160" spans="2:22" ht="191.25" hidden="1" x14ac:dyDescent="0.25">
      <c r="B160" s="29" t="str">
        <f>'[1]1 lentelė'!B156</f>
        <v>3.2.1.1.8</v>
      </c>
      <c r="C160" s="29" t="str">
        <f>'[1]1 lentelė'!C156</f>
        <v>R096609-270000-3243</v>
      </c>
      <c r="D160" s="29" t="str">
        <f>'1 lentelė'!D162</f>
        <v>Pirminės asmens sveikatos priežiūros veiklos efektyvumo didinimas VšĮ Visagino  pirminės sveikatos priežiūros centre</v>
      </c>
      <c r="E160" s="26" t="s">
        <v>1412</v>
      </c>
      <c r="F160" s="26" t="s">
        <v>1413</v>
      </c>
      <c r="G160" s="26">
        <v>12890</v>
      </c>
      <c r="H160" s="26" t="s">
        <v>1414</v>
      </c>
      <c r="I160" s="26" t="s">
        <v>1415</v>
      </c>
      <c r="J160" s="26">
        <v>1</v>
      </c>
      <c r="K160" s="26"/>
      <c r="L160" s="26"/>
      <c r="M160" s="26"/>
      <c r="N160" s="26"/>
      <c r="O160" s="26"/>
      <c r="P160" s="26"/>
      <c r="Q160" s="48"/>
      <c r="R160" s="48"/>
      <c r="S160" s="48"/>
      <c r="T160" s="48"/>
      <c r="U160" s="48"/>
      <c r="V160" s="48"/>
    </row>
    <row r="161" spans="2:22" ht="193.5" hidden="1" customHeight="1" x14ac:dyDescent="0.25">
      <c r="B161" s="29" t="str">
        <f>'[1]1 lentelė'!B157</f>
        <v>3.2.1.1.9</v>
      </c>
      <c r="C161" s="29" t="str">
        <f>'[1]1 lentelė'!C157</f>
        <v>R096609-270000-3244</v>
      </c>
      <c r="D161" s="29" t="str">
        <f>'1 lentelė'!D163</f>
        <v>Asmens sveikatos priežiūros  kokybės gerinimas Utenos rajono gyventojams</v>
      </c>
      <c r="E161" s="26" t="s">
        <v>1412</v>
      </c>
      <c r="F161" s="26" t="s">
        <v>1413</v>
      </c>
      <c r="G161" s="26">
        <v>1063</v>
      </c>
      <c r="H161" s="26" t="s">
        <v>1414</v>
      </c>
      <c r="I161" s="26" t="s">
        <v>1415</v>
      </c>
      <c r="J161" s="26">
        <v>1</v>
      </c>
      <c r="K161" s="26"/>
      <c r="L161" s="26"/>
      <c r="M161" s="26"/>
      <c r="N161" s="26"/>
      <c r="O161" s="26"/>
      <c r="P161" s="26"/>
      <c r="Q161" s="48"/>
      <c r="R161" s="48"/>
      <c r="S161" s="48"/>
      <c r="T161" s="48"/>
      <c r="U161" s="48"/>
      <c r="V161" s="48"/>
    </row>
    <row r="162" spans="2:22" ht="162.75" hidden="1" customHeight="1" x14ac:dyDescent="0.25">
      <c r="B162" s="44" t="str">
        <f>'[1]1 lentelė'!B158</f>
        <v>3.2.1.2</v>
      </c>
      <c r="C162" s="44"/>
      <c r="D162" s="44" t="str">
        <f>'1 lentelė'!D164</f>
        <v>Priemonė: Priemonių, gerinančių ambulatorinių sveikatos priežiūros paslaugų prieinamumą tuberkulioze sergantiems asmenims, įgyvendinimas</v>
      </c>
      <c r="E162" s="44"/>
      <c r="F162" s="44"/>
      <c r="G162" s="44"/>
      <c r="H162" s="44"/>
      <c r="I162" s="44"/>
      <c r="J162" s="44"/>
      <c r="K162" s="44"/>
      <c r="L162" s="44"/>
      <c r="M162" s="44"/>
      <c r="N162" s="44"/>
      <c r="O162" s="44"/>
      <c r="P162" s="44"/>
      <c r="Q162" s="44"/>
      <c r="R162" s="44"/>
      <c r="S162" s="44"/>
      <c r="T162" s="44"/>
      <c r="U162" s="44"/>
      <c r="V162" s="44"/>
    </row>
    <row r="163" spans="2:22" ht="228.75" hidden="1" customHeight="1" x14ac:dyDescent="0.25">
      <c r="B163" s="29" t="str">
        <f>'[1]1 lentelė'!B159</f>
        <v>3.2.1.2.1</v>
      </c>
      <c r="C163" s="29" t="str">
        <f>'[1]1 lentelė'!C159</f>
        <v>R096615-470000-3201</v>
      </c>
      <c r="D163" s="26" t="str">
        <f>'1 lentelė'!D165</f>
        <v>Tuberkuliozės gydymo skatinimas Anykščių rajono
savivaldybėje</v>
      </c>
      <c r="E163" s="26" t="s">
        <v>1416</v>
      </c>
      <c r="F163" s="26" t="s">
        <v>1417</v>
      </c>
      <c r="G163" s="26">
        <v>32</v>
      </c>
      <c r="H163" s="26"/>
      <c r="I163" s="26"/>
      <c r="J163" s="23"/>
      <c r="K163" s="23"/>
      <c r="L163" s="23"/>
      <c r="M163" s="23"/>
      <c r="N163" s="23"/>
      <c r="O163" s="23"/>
      <c r="P163" s="23"/>
      <c r="Q163" s="48"/>
      <c r="R163" s="48"/>
      <c r="S163" s="48"/>
      <c r="T163" s="48"/>
      <c r="U163" s="48"/>
      <c r="V163" s="48"/>
    </row>
    <row r="164" spans="2:22" ht="233.25" hidden="1" customHeight="1" x14ac:dyDescent="0.25">
      <c r="B164" s="29" t="str">
        <f>'[1]1 lentelė'!B160</f>
        <v>3.2.1.2.2</v>
      </c>
      <c r="C164" s="29" t="str">
        <f>'[1]1 lentelė'!C160</f>
        <v>R096615-470000-3202</v>
      </c>
      <c r="D164" s="26" t="str">
        <f>'1 lentelė'!D166</f>
        <v>Sergamumo ir mirtingumo mažinimas nuo tuberkuliozės Ignalinos rajone</v>
      </c>
      <c r="E164" s="26" t="s">
        <v>1416</v>
      </c>
      <c r="F164" s="26" t="s">
        <v>1417</v>
      </c>
      <c r="G164" s="26">
        <v>15</v>
      </c>
      <c r="H164" s="23"/>
      <c r="I164" s="23"/>
      <c r="J164" s="23"/>
      <c r="K164" s="23"/>
      <c r="L164" s="23"/>
      <c r="M164" s="23"/>
      <c r="N164" s="23"/>
      <c r="O164" s="23"/>
      <c r="P164" s="23"/>
      <c r="Q164" s="48"/>
      <c r="R164" s="48"/>
      <c r="S164" s="48"/>
      <c r="T164" s="48"/>
      <c r="U164" s="48"/>
      <c r="V164" s="48"/>
    </row>
    <row r="165" spans="2:22" ht="232.5" hidden="1" customHeight="1" x14ac:dyDescent="0.25">
      <c r="B165" s="29" t="str">
        <f>'[1]1 lentelė'!B161</f>
        <v>3.2.1.2.3</v>
      </c>
      <c r="C165" s="29" t="str">
        <f>'[1]1 lentelė'!C161</f>
        <v>R096615-470000-3203</v>
      </c>
      <c r="D165" s="26" t="str">
        <f>'1 lentelė'!D167</f>
        <v>Paslaugų prieinamumo priemonių tuberkulioze sergantiems asmenims įgyvendinimas  Molėtų rajone</v>
      </c>
      <c r="E165" s="26" t="s">
        <v>1416</v>
      </c>
      <c r="F165" s="26" t="s">
        <v>1417</v>
      </c>
      <c r="G165" s="26">
        <v>19</v>
      </c>
      <c r="H165" s="23"/>
      <c r="I165" s="23"/>
      <c r="J165" s="23"/>
      <c r="K165" s="23"/>
      <c r="L165" s="23"/>
      <c r="M165" s="23"/>
      <c r="N165" s="23"/>
      <c r="O165" s="23"/>
      <c r="P165" s="23"/>
      <c r="Q165" s="48"/>
      <c r="R165" s="48"/>
      <c r="S165" s="48"/>
      <c r="T165" s="48"/>
      <c r="U165" s="48"/>
      <c r="V165" s="48"/>
    </row>
    <row r="166" spans="2:22" ht="231.75" hidden="1" customHeight="1" x14ac:dyDescent="0.25">
      <c r="B166" s="29" t="str">
        <f>'[1]1 lentelė'!B162</f>
        <v>3.2.1.2.4</v>
      </c>
      <c r="C166" s="29" t="str">
        <f>'[1]1 lentelė'!C162</f>
        <v>R096615-470000-3204</v>
      </c>
      <c r="D166" s="26" t="str">
        <f>'1 lentelė'!D168</f>
        <v>Priemonių, gerinančių ambulatorinių sveikatos priežiūros paslaugų prieinamumą tuberkulioze sergantiems asmenims, įgyvendinimas Utenos rajone</v>
      </c>
      <c r="E166" s="26" t="s">
        <v>1416</v>
      </c>
      <c r="F166" s="26" t="s">
        <v>1417</v>
      </c>
      <c r="G166" s="26">
        <v>13</v>
      </c>
      <c r="H166" s="23"/>
      <c r="I166" s="23"/>
      <c r="J166" s="23"/>
      <c r="K166" s="23"/>
      <c r="L166" s="23"/>
      <c r="M166" s="23"/>
      <c r="N166" s="23"/>
      <c r="O166" s="23"/>
      <c r="P166" s="23"/>
      <c r="Q166" s="48"/>
      <c r="R166" s="48"/>
      <c r="S166" s="48"/>
      <c r="T166" s="48"/>
      <c r="U166" s="48"/>
      <c r="V166" s="48"/>
    </row>
    <row r="167" spans="2:22" ht="233.25" hidden="1" customHeight="1" x14ac:dyDescent="0.25">
      <c r="B167" s="29" t="str">
        <f>'[1]1 lentelė'!B163</f>
        <v>3.2.1.2.5</v>
      </c>
      <c r="C167" s="29" t="str">
        <f>'[1]1 lentelė'!C163</f>
        <v>R096615-470000-3205</v>
      </c>
      <c r="D167" s="26" t="str">
        <f>'1 lentelė'!D169</f>
        <v>Sergamumo ir mirtingumo mažinimas nuo tuberkuliozės Visagino savivaldybėje</v>
      </c>
      <c r="E167" s="26" t="s">
        <v>1416</v>
      </c>
      <c r="F167" s="26" t="s">
        <v>1417</v>
      </c>
      <c r="G167" s="26">
        <v>5</v>
      </c>
      <c r="H167" s="23"/>
      <c r="I167" s="23"/>
      <c r="J167" s="23"/>
      <c r="K167" s="23"/>
      <c r="L167" s="23"/>
      <c r="M167" s="23"/>
      <c r="N167" s="23"/>
      <c r="O167" s="23"/>
      <c r="P167" s="23"/>
      <c r="Q167" s="48"/>
      <c r="R167" s="48"/>
      <c r="S167" s="48"/>
      <c r="T167" s="48"/>
      <c r="U167" s="48"/>
      <c r="V167" s="48"/>
    </row>
    <row r="168" spans="2:22" ht="231.75" hidden="1" customHeight="1" x14ac:dyDescent="0.25">
      <c r="B168" s="29" t="str">
        <f>'[1]1 lentelė'!B164</f>
        <v>3.2.1.2.6</v>
      </c>
      <c r="C168" s="29" t="str">
        <f>'[1]1 lentelė'!C164</f>
        <v>R096615-470000-3206</v>
      </c>
      <c r="D168" s="26" t="str">
        <f>'1 lentelė'!D170</f>
        <v>Priemonių, gerinančių ambulatorinių sveikatos priežiūros paslaugų prieinamumą tuberkulioze sergantiems asmenims, įgyvendinimas Zarasų rajono savivaldybėje</v>
      </c>
      <c r="E168" s="26" t="s">
        <v>1416</v>
      </c>
      <c r="F168" s="26" t="s">
        <v>1417</v>
      </c>
      <c r="G168" s="26">
        <v>17</v>
      </c>
      <c r="H168" s="23"/>
      <c r="I168" s="23"/>
      <c r="J168" s="23"/>
      <c r="K168" s="23"/>
      <c r="L168" s="23"/>
      <c r="M168" s="23"/>
      <c r="N168" s="23"/>
      <c r="O168" s="23"/>
      <c r="P168" s="23"/>
      <c r="Q168" s="48"/>
      <c r="R168" s="48"/>
      <c r="S168" s="48"/>
      <c r="T168" s="48"/>
      <c r="U168" s="48"/>
      <c r="V168" s="48"/>
    </row>
    <row r="169" spans="2:22" ht="81" hidden="1" customHeight="1" x14ac:dyDescent="0.25">
      <c r="B169" s="42" t="str">
        <f>'[1]1 lentelė'!B165</f>
        <v>3.2.2</v>
      </c>
      <c r="C169" s="42"/>
      <c r="D169" s="42" t="str">
        <f>'1 lentelė'!D171</f>
        <v>Uždavinys: Skatinti sveiką gyvenseną ir visuomenės sveikatos raštingumą</v>
      </c>
      <c r="E169" s="42"/>
      <c r="F169" s="42"/>
      <c r="G169" s="42"/>
      <c r="H169" s="43"/>
      <c r="I169" s="43"/>
      <c r="J169" s="43"/>
      <c r="K169" s="42"/>
      <c r="L169" s="42"/>
      <c r="M169" s="43"/>
      <c r="N169" s="43"/>
      <c r="O169" s="43"/>
      <c r="P169" s="68"/>
      <c r="Q169" s="68"/>
      <c r="R169" s="68"/>
      <c r="S169" s="68"/>
      <c r="T169" s="68"/>
      <c r="U169" s="68"/>
      <c r="V169" s="68"/>
    </row>
    <row r="170" spans="2:22" ht="70.5" hidden="1" customHeight="1" x14ac:dyDescent="0.25">
      <c r="B170" s="44" t="str">
        <f>'[1]1 lentelė'!B166</f>
        <v>3.2.2.1</v>
      </c>
      <c r="C170" s="44"/>
      <c r="D170" s="44" t="str">
        <f>'1 lentelė'!D172</f>
        <v xml:space="preserve">Priemonė: Sveikos gyvensenos skatinimas regioniniu lygiu </v>
      </c>
      <c r="E170" s="44"/>
      <c r="F170" s="44"/>
      <c r="G170" s="44"/>
      <c r="H170" s="44"/>
      <c r="I170" s="44"/>
      <c r="J170" s="44"/>
      <c r="K170" s="44"/>
      <c r="L170" s="44"/>
      <c r="M170" s="44"/>
      <c r="N170" s="44"/>
      <c r="O170" s="44"/>
      <c r="P170" s="44"/>
      <c r="Q170" s="44"/>
      <c r="R170" s="44"/>
      <c r="S170" s="44"/>
      <c r="T170" s="44"/>
      <c r="U170" s="44"/>
      <c r="V170" s="44"/>
    </row>
    <row r="171" spans="2:22" ht="191.25" hidden="1" x14ac:dyDescent="0.25">
      <c r="B171" s="29" t="str">
        <f>'[1]1 lentelė'!B167</f>
        <v>3.2.2.1.1.</v>
      </c>
      <c r="C171" s="29" t="str">
        <f>'[1]1 lentelė'!C167</f>
        <v>R096630-470000-3207</v>
      </c>
      <c r="D171" s="26" t="str">
        <f>'1 lentelė'!D173</f>
        <v>Sveikos gyvensenos skatinimas Anykščių rajono savivaldybėje</v>
      </c>
      <c r="E171" s="26" t="s">
        <v>1418</v>
      </c>
      <c r="F171" s="26" t="s">
        <v>1419</v>
      </c>
      <c r="G171" s="26">
        <v>2100</v>
      </c>
      <c r="H171" s="26" t="s">
        <v>1420</v>
      </c>
      <c r="I171" s="26" t="s">
        <v>1421</v>
      </c>
      <c r="J171" s="26">
        <v>1</v>
      </c>
      <c r="K171" s="26"/>
      <c r="L171" s="23"/>
      <c r="M171" s="23"/>
      <c r="N171" s="23"/>
      <c r="O171" s="23"/>
      <c r="P171" s="23"/>
      <c r="Q171" s="48"/>
      <c r="R171" s="48"/>
      <c r="S171" s="48"/>
      <c r="T171" s="48"/>
      <c r="U171" s="48"/>
      <c r="V171" s="48"/>
    </row>
    <row r="172" spans="2:22" ht="191.25" hidden="1" x14ac:dyDescent="0.25">
      <c r="B172" s="29" t="str">
        <f>'[1]1 lentelė'!B168</f>
        <v>3.2.2.1.2.</v>
      </c>
      <c r="C172" s="29" t="str">
        <f>'[1]1 lentelė'!C168</f>
        <v>R096630-470000-3208</v>
      </c>
      <c r="D172" s="26" t="str">
        <f>'1 lentelė'!D174</f>
        <v>Sveikos gyvensenos skatinimas Molėtų rajono savivaldybėje</v>
      </c>
      <c r="E172" s="26" t="s">
        <v>1418</v>
      </c>
      <c r="F172" s="26" t="s">
        <v>1422</v>
      </c>
      <c r="G172" s="26">
        <v>1782</v>
      </c>
      <c r="H172" s="26"/>
      <c r="I172" s="26"/>
      <c r="J172" s="26"/>
      <c r="K172" s="26"/>
      <c r="L172" s="23"/>
      <c r="M172" s="23"/>
      <c r="N172" s="23"/>
      <c r="O172" s="23"/>
      <c r="P172" s="23"/>
      <c r="Q172" s="48"/>
      <c r="R172" s="48"/>
      <c r="S172" s="48"/>
      <c r="T172" s="48"/>
      <c r="U172" s="48"/>
      <c r="V172" s="48"/>
    </row>
    <row r="173" spans="2:22" ht="191.25" hidden="1" x14ac:dyDescent="0.25">
      <c r="B173" s="29" t="str">
        <f>'[1]1 lentelė'!B169</f>
        <v>3.2.2.1.3.</v>
      </c>
      <c r="C173" s="29" t="str">
        <f>'[1]1 lentelė'!C169</f>
        <v>R096630-470000-3209</v>
      </c>
      <c r="D173" s="26" t="str">
        <f>'1 lentelė'!D175</f>
        <v>Sveikos gyvensenos skatinimas Utenos rajone</v>
      </c>
      <c r="E173" s="26" t="s">
        <v>1418</v>
      </c>
      <c r="F173" s="26" t="s">
        <v>1423</v>
      </c>
      <c r="G173" s="26">
        <v>2488</v>
      </c>
      <c r="H173" s="26"/>
      <c r="I173" s="26"/>
      <c r="J173" s="26"/>
      <c r="K173" s="26"/>
      <c r="L173" s="23"/>
      <c r="M173" s="23"/>
      <c r="N173" s="23"/>
      <c r="O173" s="23"/>
      <c r="P173" s="23"/>
      <c r="Q173" s="48"/>
      <c r="R173" s="48"/>
      <c r="S173" s="48"/>
      <c r="T173" s="48"/>
      <c r="U173" s="48"/>
      <c r="V173" s="48"/>
    </row>
    <row r="174" spans="2:22" ht="191.25" hidden="1" x14ac:dyDescent="0.25">
      <c r="B174" s="29" t="str">
        <f>'[1]1 lentelė'!B170</f>
        <v>3.2.2.1.4.</v>
      </c>
      <c r="C174" s="29" t="str">
        <f>'[1]1 lentelė'!C170</f>
        <v>R096630-470000-3210</v>
      </c>
      <c r="D174" s="26" t="str">
        <f>'1 lentelė'!D176</f>
        <v>Sveikos gyvensenos skatinimas Zarasų rajono savivaldybėje</v>
      </c>
      <c r="E174" s="26" t="s">
        <v>1418</v>
      </c>
      <c r="F174" s="26" t="s">
        <v>1424</v>
      </c>
      <c r="G174" s="26">
        <v>1414</v>
      </c>
      <c r="H174" s="23"/>
      <c r="I174" s="23"/>
      <c r="J174" s="23"/>
      <c r="K174" s="23"/>
      <c r="L174" s="23"/>
      <c r="M174" s="23"/>
      <c r="N174" s="23"/>
      <c r="O174" s="23"/>
      <c r="P174" s="23"/>
      <c r="Q174" s="48"/>
      <c r="R174" s="48"/>
      <c r="S174" s="48"/>
      <c r="T174" s="48"/>
      <c r="U174" s="48"/>
      <c r="V174" s="48"/>
    </row>
    <row r="175" spans="2:22" ht="191.25" hidden="1" x14ac:dyDescent="0.25">
      <c r="B175" s="29" t="str">
        <f>'[1]1 lentelė'!B171</f>
        <v>3.2.2.1.5.</v>
      </c>
      <c r="C175" s="29" t="str">
        <f>'[1]1 lentelė'!C171</f>
        <v>R096630-470000-32011</v>
      </c>
      <c r="D175" s="26" t="str">
        <f>'1 lentelė'!D177</f>
        <v>Sveikos gyvensenos skatinimas Ignalinos rajone</v>
      </c>
      <c r="E175" s="26" t="s">
        <v>1418</v>
      </c>
      <c r="F175" s="26" t="s">
        <v>1425</v>
      </c>
      <c r="G175" s="26">
        <v>591</v>
      </c>
      <c r="H175" s="23"/>
      <c r="I175" s="23"/>
      <c r="J175" s="23"/>
      <c r="K175" s="23"/>
      <c r="L175" s="23"/>
      <c r="M175" s="23"/>
      <c r="N175" s="23"/>
      <c r="O175" s="23"/>
      <c r="P175" s="23"/>
      <c r="Q175" s="48"/>
      <c r="R175" s="48"/>
      <c r="S175" s="48"/>
      <c r="T175" s="48"/>
      <c r="U175" s="48"/>
      <c r="V175" s="48"/>
    </row>
    <row r="176" spans="2:22" ht="191.25" hidden="1" x14ac:dyDescent="0.25">
      <c r="B176" s="29" t="str">
        <f>'[1]1 lentelė'!B172</f>
        <v>3.2.2.1.6.</v>
      </c>
      <c r="C176" s="29" t="str">
        <f>'[1]1 lentelė'!C172</f>
        <v>R096630-470000-3212</v>
      </c>
      <c r="D176" s="26" t="str">
        <f>'1 lentelė'!D178</f>
        <v>Vaikų  sveikos  gyvensenos  skatinimas Visagino savivaldybėje</v>
      </c>
      <c r="E176" s="26" t="s">
        <v>1418</v>
      </c>
      <c r="F176" s="26" t="s">
        <v>1426</v>
      </c>
      <c r="G176" s="26">
        <v>1036</v>
      </c>
      <c r="H176" s="23"/>
      <c r="I176" s="23"/>
      <c r="J176" s="23"/>
      <c r="K176" s="23"/>
      <c r="L176" s="23"/>
      <c r="M176" s="23"/>
      <c r="N176" s="23"/>
      <c r="O176" s="23"/>
      <c r="P176" s="23"/>
      <c r="Q176" s="48"/>
      <c r="R176" s="48"/>
      <c r="S176" s="48"/>
      <c r="T176" s="48"/>
      <c r="U176" s="48"/>
      <c r="V176" s="48"/>
    </row>
    <row r="177" spans="2:33" ht="165.75" hidden="1" x14ac:dyDescent="0.25">
      <c r="B177" s="29" t="str">
        <f>'[1]1 lentelė'!B173</f>
        <v>3.2.2.1.7.</v>
      </c>
      <c r="C177" s="29" t="str">
        <f>'[1]1 lentelė'!C173</f>
        <v>R096630-470000-3236</v>
      </c>
      <c r="D177" s="26" t="str">
        <f>'1 lentelė'!D179</f>
        <v>Sveikos gyvensenos skatinimas Ignalinos rajone. II etapas</v>
      </c>
      <c r="E177" s="26" t="s">
        <v>1418</v>
      </c>
      <c r="F177" s="26" t="s">
        <v>1427</v>
      </c>
      <c r="G177" s="26">
        <v>219</v>
      </c>
      <c r="H177" s="23"/>
      <c r="I177" s="23"/>
      <c r="J177" s="23"/>
      <c r="K177" s="23"/>
      <c r="L177" s="23"/>
      <c r="M177" s="23"/>
      <c r="N177" s="23"/>
      <c r="O177" s="23"/>
      <c r="P177" s="23"/>
      <c r="Q177" s="48"/>
      <c r="R177" s="48"/>
      <c r="S177" s="48"/>
      <c r="T177" s="48"/>
      <c r="U177" s="48"/>
      <c r="V177" s="48"/>
    </row>
    <row r="178" spans="2:33" ht="105.75" hidden="1" customHeight="1" x14ac:dyDescent="0.25">
      <c r="B178" s="42" t="str">
        <f>'[1]1 lentelė'!B174</f>
        <v>3.2.3</v>
      </c>
      <c r="C178" s="42"/>
      <c r="D178" s="42" t="str">
        <f>'1 lentelė'!D180</f>
        <v>Uždavinys: Plėtoti socialinių paslaugų infrastruktūrą ir socialinio būsto fondą bei didinti jų prieinamumą</v>
      </c>
      <c r="E178" s="42"/>
      <c r="F178" s="42"/>
      <c r="G178" s="42"/>
      <c r="H178" s="43"/>
      <c r="I178" s="43"/>
      <c r="J178" s="43"/>
      <c r="K178" s="42"/>
      <c r="L178" s="42"/>
      <c r="M178" s="43"/>
      <c r="N178" s="43"/>
      <c r="O178" s="43"/>
      <c r="P178" s="42"/>
      <c r="Q178" s="42"/>
      <c r="R178" s="42"/>
      <c r="S178" s="42"/>
      <c r="T178" s="42"/>
      <c r="U178" s="42"/>
      <c r="V178" s="42"/>
    </row>
    <row r="179" spans="2:33" ht="63.75" hidden="1" x14ac:dyDescent="0.25">
      <c r="B179" s="44" t="str">
        <f>'[1]1 lentelė'!B175</f>
        <v>3.2.3.1</v>
      </c>
      <c r="C179" s="44"/>
      <c r="D179" s="44" t="str">
        <f>'1 lentelė'!D181</f>
        <v>Priemonė: Socialinių paslaugų infrastruktūros plėtra</v>
      </c>
      <c r="E179" s="44"/>
      <c r="F179" s="44"/>
      <c r="G179" s="44"/>
      <c r="H179" s="44"/>
      <c r="I179" s="44"/>
      <c r="J179" s="44"/>
      <c r="K179" s="44"/>
      <c r="L179" s="44"/>
      <c r="M179" s="44"/>
      <c r="N179" s="44"/>
      <c r="O179" s="44"/>
      <c r="P179" s="44"/>
      <c r="Q179" s="44"/>
      <c r="R179" s="44"/>
      <c r="S179" s="44"/>
      <c r="T179" s="44"/>
      <c r="U179" s="44"/>
      <c r="V179" s="44"/>
    </row>
    <row r="180" spans="2:33" ht="127.5" hidden="1" x14ac:dyDescent="0.25">
      <c r="B180" s="29" t="str">
        <f>'1 lentelė'!B182</f>
        <v>3.2.3.1.1</v>
      </c>
      <c r="C180" s="29" t="str">
        <f>'1 lentelė'!C182</f>
        <v>R094407-270000-3213</v>
      </c>
      <c r="D180" s="26" t="str">
        <f>'1 lentelė'!D182</f>
        <v>Anykščių rajono Svėdasų senelių globos namų modernizavimas</v>
      </c>
      <c r="E180" s="26" t="s">
        <v>1428</v>
      </c>
      <c r="F180" s="26" t="s">
        <v>1429</v>
      </c>
      <c r="G180" s="26">
        <v>1</v>
      </c>
      <c r="H180" s="26" t="s">
        <v>1430</v>
      </c>
      <c r="I180" s="26" t="s">
        <v>1431</v>
      </c>
      <c r="J180" s="26">
        <v>50</v>
      </c>
      <c r="K180" s="26" t="s">
        <v>1432</v>
      </c>
      <c r="L180" s="26" t="s">
        <v>1433</v>
      </c>
      <c r="M180" s="26">
        <v>35</v>
      </c>
      <c r="N180" s="23"/>
      <c r="O180" s="23"/>
      <c r="P180" s="23"/>
      <c r="Q180" s="48"/>
      <c r="R180" s="48"/>
      <c r="S180" s="48"/>
      <c r="T180" s="48"/>
      <c r="U180" s="48"/>
      <c r="V180" s="48"/>
    </row>
    <row r="181" spans="2:33" ht="153" hidden="1" x14ac:dyDescent="0.25">
      <c r="B181" s="29" t="str">
        <f>'[1]1 lentelė'!B177</f>
        <v>3.2.3.1.2</v>
      </c>
      <c r="C181" s="29" t="str">
        <f>'[1]1 lentelė'!C177</f>
        <v>R094407-270000-3214</v>
      </c>
      <c r="D181" s="26" t="str">
        <f>'1 lentelė'!D183</f>
        <v>Utenos rajono savivaldybės Leliūnų socialinės globos namų modernizavimas</v>
      </c>
      <c r="E181" s="26" t="s">
        <v>1428</v>
      </c>
      <c r="F181" s="26" t="s">
        <v>1429</v>
      </c>
      <c r="G181" s="26">
        <v>1</v>
      </c>
      <c r="H181" s="26" t="s">
        <v>1430</v>
      </c>
      <c r="I181" s="26" t="s">
        <v>1431</v>
      </c>
      <c r="J181" s="26">
        <v>0</v>
      </c>
      <c r="K181" s="26" t="s">
        <v>1432</v>
      </c>
      <c r="L181" s="26" t="s">
        <v>1433</v>
      </c>
      <c r="M181" s="26">
        <v>28</v>
      </c>
      <c r="N181" s="23"/>
      <c r="O181" s="23"/>
      <c r="P181" s="23"/>
      <c r="Q181" s="48"/>
      <c r="R181" s="48"/>
      <c r="S181" s="48"/>
      <c r="T181" s="48"/>
      <c r="U181" s="48"/>
      <c r="V181" s="48"/>
      <c r="Y181" s="345" t="s">
        <v>1428</v>
      </c>
      <c r="Z181" s="345" t="s">
        <v>1429</v>
      </c>
      <c r="AA181" s="345">
        <v>1</v>
      </c>
      <c r="AB181" s="345" t="s">
        <v>1430</v>
      </c>
      <c r="AC181" s="345" t="s">
        <v>1431</v>
      </c>
      <c r="AD181" s="345">
        <v>43</v>
      </c>
      <c r="AE181" s="345" t="s">
        <v>1432</v>
      </c>
      <c r="AF181" s="345" t="s">
        <v>1433</v>
      </c>
      <c r="AG181" s="345">
        <v>28</v>
      </c>
    </row>
    <row r="182" spans="2:33" ht="127.5" hidden="1" x14ac:dyDescent="0.25">
      <c r="B182" s="29" t="str">
        <f>'[1]1 lentelė'!B178</f>
        <v>3.2.3.1.3</v>
      </c>
      <c r="C182" s="29" t="str">
        <f>'[1]1 lentelė'!C178</f>
        <v>R094407-270000-3215</v>
      </c>
      <c r="D182" s="26" t="str">
        <f>'1 lentelė'!D184</f>
        <v>Zarasų rajono socialinių paslaugų centro nakvynės namų modernizavimas ir plėtra</v>
      </c>
      <c r="E182" s="26" t="s">
        <v>1428</v>
      </c>
      <c r="F182" s="26" t="s">
        <v>1429</v>
      </c>
      <c r="G182" s="26">
        <v>1</v>
      </c>
      <c r="H182" s="26" t="s">
        <v>1430</v>
      </c>
      <c r="I182" s="26" t="s">
        <v>1431</v>
      </c>
      <c r="J182" s="26">
        <v>0</v>
      </c>
      <c r="K182" s="26" t="s">
        <v>1432</v>
      </c>
      <c r="L182" s="26" t="s">
        <v>1433</v>
      </c>
      <c r="M182" s="26">
        <v>14</v>
      </c>
      <c r="N182" s="23"/>
      <c r="O182" s="23"/>
      <c r="P182" s="23"/>
      <c r="Q182" s="48"/>
      <c r="R182" s="48"/>
      <c r="S182" s="48"/>
      <c r="T182" s="48"/>
      <c r="U182" s="48"/>
      <c r="V182" s="48"/>
    </row>
    <row r="183" spans="2:33" ht="135.75" hidden="1" customHeight="1" x14ac:dyDescent="0.25">
      <c r="B183" s="29" t="str">
        <f>'[1]1 lentelė'!B179</f>
        <v>3.2.3.1.4</v>
      </c>
      <c r="C183" s="29" t="str">
        <f>'[1]1 lentelė'!C179</f>
        <v>R094407-270000-3216</v>
      </c>
      <c r="D183" s="26" t="str">
        <f>'1 lentelė'!D185</f>
        <v>Apleisto (nenaudojamo) buvusio visuomeninio pastato konversija ir pritaikymas savarankiško gyvenimo namų Visagine įkūrimas</v>
      </c>
      <c r="E183" s="26" t="s">
        <v>1428</v>
      </c>
      <c r="F183" s="26" t="s">
        <v>1429</v>
      </c>
      <c r="G183" s="26">
        <v>1</v>
      </c>
      <c r="H183" s="26" t="s">
        <v>1430</v>
      </c>
      <c r="I183" s="26" t="s">
        <v>1431</v>
      </c>
      <c r="J183" s="26">
        <v>20</v>
      </c>
      <c r="K183" s="26" t="s">
        <v>1432</v>
      </c>
      <c r="L183" s="26" t="s">
        <v>1433</v>
      </c>
      <c r="M183" s="26">
        <v>16</v>
      </c>
      <c r="N183" s="23"/>
      <c r="O183" s="23"/>
      <c r="P183" s="23"/>
      <c r="Q183" s="48"/>
      <c r="R183" s="48"/>
      <c r="S183" s="48"/>
      <c r="T183" s="48"/>
      <c r="U183" s="48"/>
      <c r="V183" s="48"/>
    </row>
    <row r="184" spans="2:33" ht="41.25" customHeight="1" x14ac:dyDescent="0.25">
      <c r="B184" s="44" t="str">
        <f>'[1]1 lentelė'!B180</f>
        <v>3.2.3.2</v>
      </c>
      <c r="C184" s="44"/>
      <c r="D184" s="44" t="str">
        <f>'1 lentelė'!D186</f>
        <v>Priemonė: Socialinio būsto fondo plėtra</v>
      </c>
      <c r="E184" s="44"/>
      <c r="F184" s="44"/>
      <c r="G184" s="44"/>
      <c r="H184" s="44"/>
      <c r="I184" s="44"/>
      <c r="J184" s="44"/>
      <c r="K184" s="44"/>
      <c r="L184" s="44"/>
      <c r="M184" s="44"/>
      <c r="N184" s="44"/>
      <c r="O184" s="44"/>
      <c r="P184" s="44"/>
      <c r="Q184" s="44"/>
      <c r="R184" s="44"/>
      <c r="S184" s="44"/>
      <c r="T184" s="44"/>
      <c r="U184" s="44"/>
      <c r="V184" s="44"/>
    </row>
    <row r="185" spans="2:33" ht="60" customHeight="1" x14ac:dyDescent="0.25">
      <c r="B185" s="29" t="str">
        <f>'[1]1 lentelė'!B181</f>
        <v>3.2.3.2.1</v>
      </c>
      <c r="C185" s="29" t="str">
        <f>'[1]1 lentelė'!C181</f>
        <v>R094408-252600-3217</v>
      </c>
      <c r="D185" s="26" t="str">
        <f>'1 lentelė'!D187</f>
        <v>Socialinio būsto fondo plėtra Ignalinos rajono savivaldybėje</v>
      </c>
      <c r="E185" s="26" t="s">
        <v>1434</v>
      </c>
      <c r="F185" s="26" t="s">
        <v>1435</v>
      </c>
      <c r="G185" s="26">
        <v>21</v>
      </c>
      <c r="H185" s="23"/>
      <c r="I185" s="23"/>
      <c r="J185" s="23"/>
      <c r="K185" s="23"/>
      <c r="L185" s="23"/>
      <c r="M185" s="23"/>
      <c r="N185" s="23"/>
      <c r="O185" s="23"/>
      <c r="P185" s="23"/>
      <c r="Q185" s="48"/>
      <c r="R185" s="48"/>
      <c r="S185" s="48"/>
      <c r="T185" s="48"/>
      <c r="U185" s="48"/>
      <c r="V185" s="48"/>
    </row>
    <row r="186" spans="2:33" ht="105" customHeight="1" x14ac:dyDescent="0.25">
      <c r="B186" s="29" t="str">
        <f>'[1]1 lentelė'!B182</f>
        <v>3.2.3.2.2</v>
      </c>
      <c r="C186" s="29" t="str">
        <f>'[1]1 lentelė'!C182</f>
        <v>R094408-250000-3218</v>
      </c>
      <c r="D186" s="26" t="str">
        <f>'1 lentelė'!D188</f>
        <v>Bendrabučio tipo pastato, esančio Visagine,  Kosmoso 28, patalpų pritaikymas socialinio būsto įrengimui</v>
      </c>
      <c r="E186" s="23" t="s">
        <v>1434</v>
      </c>
      <c r="F186" s="23" t="s">
        <v>1435</v>
      </c>
      <c r="G186" s="23">
        <v>25</v>
      </c>
      <c r="H186" s="23"/>
      <c r="I186" s="23"/>
      <c r="J186" s="23"/>
      <c r="K186" s="23"/>
      <c r="L186" s="23"/>
      <c r="M186" s="23"/>
      <c r="N186" s="23"/>
      <c r="O186" s="23"/>
      <c r="P186" s="23"/>
      <c r="Q186" s="48"/>
      <c r="R186" s="48"/>
      <c r="S186" s="48"/>
      <c r="T186" s="48"/>
      <c r="U186" s="48"/>
      <c r="V186" s="48"/>
    </row>
    <row r="187" spans="2:33" ht="61.5" customHeight="1" x14ac:dyDescent="0.25">
      <c r="B187" s="29" t="str">
        <f>'[1]1 lentelė'!B183</f>
        <v>3.2.3.2.3</v>
      </c>
      <c r="C187" s="29" t="str">
        <f>'[1]1 lentelė'!C183</f>
        <v>R094408-250000-3219</v>
      </c>
      <c r="D187" s="26" t="str">
        <f>'1 lentelė'!D189</f>
        <v>Socialinio būsto fondo plėtra Anykščių rajono savivaldybėje</v>
      </c>
      <c r="E187" s="23" t="s">
        <v>1434</v>
      </c>
      <c r="F187" s="23" t="s">
        <v>1435</v>
      </c>
      <c r="G187" s="26">
        <v>20</v>
      </c>
      <c r="H187" s="23"/>
      <c r="I187" s="23"/>
      <c r="J187" s="23"/>
      <c r="K187" s="23"/>
      <c r="L187" s="23"/>
      <c r="M187" s="23"/>
      <c r="N187" s="23"/>
      <c r="O187" s="23"/>
      <c r="P187" s="23"/>
      <c r="Q187" s="48"/>
      <c r="R187" s="48"/>
      <c r="S187" s="48"/>
      <c r="T187" s="48"/>
      <c r="U187" s="48"/>
      <c r="V187" s="48"/>
    </row>
    <row r="188" spans="2:33" ht="57" customHeight="1" x14ac:dyDescent="0.25">
      <c r="B188" s="29" t="str">
        <f>'[1]1 lentelė'!B184</f>
        <v>3.2.3.2.4</v>
      </c>
      <c r="C188" s="29" t="str">
        <f>'[1]1 lentelė'!C184</f>
        <v>R094408-262500-3220</v>
      </c>
      <c r="D188" s="26" t="str">
        <f>'1 lentelė'!D190</f>
        <v>Socialinio būsto fondo plėtra Molėtų rajono savivaldybėje</v>
      </c>
      <c r="E188" s="23" t="s">
        <v>1434</v>
      </c>
      <c r="F188" s="23" t="s">
        <v>1435</v>
      </c>
      <c r="G188" s="26">
        <v>22</v>
      </c>
      <c r="H188" s="23"/>
      <c r="I188" s="23"/>
      <c r="J188" s="23"/>
      <c r="K188" s="23"/>
      <c r="L188" s="23"/>
      <c r="M188" s="23"/>
      <c r="N188" s="23"/>
      <c r="O188" s="23"/>
      <c r="P188" s="23"/>
      <c r="Q188" s="48"/>
      <c r="R188" s="48"/>
      <c r="S188" s="48"/>
      <c r="T188" s="48"/>
      <c r="U188" s="48"/>
      <c r="V188" s="48"/>
    </row>
    <row r="189" spans="2:33" ht="54.75" customHeight="1" x14ac:dyDescent="0.25">
      <c r="B189" s="29" t="str">
        <f>'[1]1 lentelė'!B185</f>
        <v>3.2.3.2.5</v>
      </c>
      <c r="C189" s="29" t="str">
        <f>'[1]1 lentelė'!C185</f>
        <v>R094408-260000-3221</v>
      </c>
      <c r="D189" s="26" t="str">
        <f>'1 lentelė'!D191</f>
        <v>Socialinio būsto fondo plėtra Zarasų rajono savivaldybėje</v>
      </c>
      <c r="E189" s="26" t="s">
        <v>1434</v>
      </c>
      <c r="F189" s="26" t="s">
        <v>1435</v>
      </c>
      <c r="G189" s="26">
        <v>33</v>
      </c>
      <c r="H189" s="26"/>
      <c r="I189" s="23"/>
      <c r="J189" s="23"/>
      <c r="K189" s="23"/>
      <c r="L189" s="23"/>
      <c r="M189" s="23"/>
      <c r="N189" s="23"/>
      <c r="O189" s="23"/>
      <c r="P189" s="23"/>
      <c r="Q189" s="48"/>
      <c r="R189" s="48"/>
      <c r="S189" s="48"/>
      <c r="T189" s="48"/>
      <c r="U189" s="48"/>
      <c r="V189" s="48"/>
    </row>
    <row r="190" spans="2:33" ht="59.25" customHeight="1" x14ac:dyDescent="0.25">
      <c r="B190" s="29" t="str">
        <f>'[1]1 lentelė'!B186</f>
        <v>3.2.3.2.6</v>
      </c>
      <c r="C190" s="29" t="str">
        <f>'[1]1 lentelė'!C186</f>
        <v>R094408-260000-3222</v>
      </c>
      <c r="D190" s="26" t="str">
        <f>'1 lentelė'!D192</f>
        <v>Socialinio būsto fondo plėtra Utenos rajono savivaldybėje</v>
      </c>
      <c r="E190" s="26" t="s">
        <v>1434</v>
      </c>
      <c r="F190" s="26" t="s">
        <v>1435</v>
      </c>
      <c r="G190" s="26">
        <v>20</v>
      </c>
      <c r="H190" s="23"/>
      <c r="I190" s="23"/>
      <c r="J190" s="23"/>
      <c r="K190" s="23"/>
      <c r="L190" s="23"/>
      <c r="M190" s="23"/>
      <c r="N190" s="23"/>
      <c r="O190" s="23"/>
      <c r="P190" s="23"/>
      <c r="Q190" s="48"/>
      <c r="R190" s="48"/>
      <c r="S190" s="48"/>
      <c r="T190" s="48"/>
      <c r="U190" s="48"/>
      <c r="V190" s="48"/>
    </row>
    <row r="191" spans="2:33" ht="52.5" hidden="1" customHeight="1" x14ac:dyDescent="0.25">
      <c r="B191" s="42" t="str">
        <f>'[1]1 lentelė'!B187</f>
        <v>3.2.4</v>
      </c>
      <c r="C191" s="42"/>
      <c r="D191" s="42" t="str">
        <f>'1 lentelė'!D193</f>
        <v>Uždavinys: Plėtoti kultūros paslaugas ir infrastruktūrą</v>
      </c>
      <c r="E191" s="42"/>
      <c r="F191" s="42"/>
      <c r="G191" s="42"/>
      <c r="H191" s="43"/>
      <c r="I191" s="43"/>
      <c r="J191" s="43"/>
      <c r="K191" s="42"/>
      <c r="L191" s="42"/>
      <c r="M191" s="43"/>
      <c r="N191" s="43"/>
      <c r="O191" s="43"/>
      <c r="P191" s="42"/>
      <c r="Q191" s="42"/>
      <c r="R191" s="42"/>
      <c r="S191" s="42"/>
      <c r="T191" s="42"/>
      <c r="U191" s="42"/>
      <c r="V191" s="42"/>
    </row>
    <row r="192" spans="2:33" ht="66.75" hidden="1" customHeight="1" x14ac:dyDescent="0.25">
      <c r="B192" s="44" t="str">
        <f>'[1]1 lentelė'!B188</f>
        <v>3.2.4.1</v>
      </c>
      <c r="C192" s="44"/>
      <c r="D192" s="44" t="str">
        <f>'1 lentelė'!D194</f>
        <v>Priemonė: Modernizuoti savivaldybių kultūros infrastuktūrą</v>
      </c>
      <c r="E192" s="44"/>
      <c r="F192" s="44"/>
      <c r="G192" s="44"/>
      <c r="H192" s="44"/>
      <c r="I192" s="44"/>
      <c r="J192" s="44"/>
      <c r="K192" s="44"/>
      <c r="L192" s="44"/>
      <c r="M192" s="44"/>
      <c r="N192" s="44"/>
      <c r="O192" s="44"/>
      <c r="P192" s="44"/>
      <c r="Q192" s="44"/>
      <c r="R192" s="44"/>
      <c r="S192" s="44"/>
      <c r="T192" s="44"/>
      <c r="U192" s="44"/>
      <c r="V192" s="44"/>
    </row>
    <row r="193" spans="2:25" ht="114" hidden="1" customHeight="1" x14ac:dyDescent="0.25">
      <c r="B193" s="29" t="str">
        <f>'[1]1 lentelė'!B189</f>
        <v>3.2.4.1.1</v>
      </c>
      <c r="C193" s="29" t="str">
        <f>'[1]1 lentelė'!C189</f>
        <v>R093305-330000-3223</v>
      </c>
      <c r="D193" s="26" t="str">
        <f>'1 lentelė'!D195</f>
        <v xml:space="preserve">Ignalinos rajono savivaldybės viešosios bibliotekos infrastruktūros pritaikymas vietos bendruomenės poreikiams </v>
      </c>
      <c r="E193" s="26" t="s">
        <v>1436</v>
      </c>
      <c r="F193" s="26" t="s">
        <v>1437</v>
      </c>
      <c r="G193" s="26">
        <v>1</v>
      </c>
      <c r="H193" s="23"/>
      <c r="I193" s="23"/>
      <c r="J193" s="23"/>
      <c r="K193" s="23"/>
      <c r="L193" s="23"/>
      <c r="M193" s="23"/>
      <c r="N193" s="23"/>
      <c r="O193" s="23"/>
      <c r="P193" s="23"/>
      <c r="Q193" s="48"/>
      <c r="R193" s="48"/>
      <c r="S193" s="48"/>
      <c r="T193" s="48"/>
      <c r="U193" s="48"/>
      <c r="V193" s="48"/>
    </row>
    <row r="194" spans="2:25" ht="67.5" hidden="1" customHeight="1" x14ac:dyDescent="0.25">
      <c r="B194" s="29" t="str">
        <f>'[1]1 lentelė'!B190</f>
        <v>3.2.4.1.2</v>
      </c>
      <c r="C194" s="29" t="str">
        <f>'[1]1 lentelė'!C190</f>
        <v>R093305-334300-3224</v>
      </c>
      <c r="D194" s="26" t="str">
        <f>'1 lentelė'!D196</f>
        <v>Renginių infrastruktūros atnaujinimas Zarasų miesto Didžiojoje saloje</v>
      </c>
      <c r="E194" s="26" t="s">
        <v>1436</v>
      </c>
      <c r="F194" s="26" t="s">
        <v>1437</v>
      </c>
      <c r="G194" s="26">
        <v>1</v>
      </c>
      <c r="H194" s="23"/>
      <c r="I194" s="23"/>
      <c r="J194" s="23"/>
      <c r="K194" s="23"/>
      <c r="L194" s="23"/>
      <c r="M194" s="23"/>
      <c r="N194" s="23"/>
      <c r="O194" s="23"/>
      <c r="P194" s="23"/>
      <c r="Q194" s="48"/>
      <c r="R194" s="48"/>
      <c r="S194" s="48"/>
      <c r="T194" s="48"/>
      <c r="U194" s="48"/>
      <c r="V194" s="48"/>
    </row>
    <row r="195" spans="2:25" ht="90.75" hidden="1" customHeight="1" x14ac:dyDescent="0.25">
      <c r="B195" s="29" t="str">
        <f>'[1]1 lentelė'!B191</f>
        <v>3.2.4.1.3</v>
      </c>
      <c r="C195" s="29" t="str">
        <f>'[1]1 lentelė'!C191</f>
        <v>R093305-330000-3225</v>
      </c>
      <c r="D195" s="26" t="str">
        <f>'1 lentelė'!D197</f>
        <v>Molėtų miesto laisvalaikio ir pramogų infrastruktūros atnaujinimas ir plėtra Labanoro g. 1b, Molėtai</v>
      </c>
      <c r="E195" s="26" t="s">
        <v>1436</v>
      </c>
      <c r="F195" s="26" t="s">
        <v>1437</v>
      </c>
      <c r="G195" s="26">
        <v>1</v>
      </c>
      <c r="H195" s="23"/>
      <c r="I195" s="23"/>
      <c r="J195" s="23"/>
      <c r="K195" s="23"/>
      <c r="L195" s="23"/>
      <c r="M195" s="23"/>
      <c r="N195" s="23"/>
      <c r="O195" s="23"/>
      <c r="P195" s="23"/>
      <c r="Q195" s="48"/>
      <c r="R195" s="48"/>
      <c r="S195" s="48"/>
      <c r="T195" s="48"/>
      <c r="U195" s="48"/>
      <c r="V195" s="48"/>
    </row>
    <row r="196" spans="2:25" ht="178.5" hidden="1" customHeight="1" x14ac:dyDescent="0.25">
      <c r="B196" s="29" t="str">
        <f>'[1]1 lentelė'!B192</f>
        <v>3.2.4.1.4</v>
      </c>
      <c r="C196" s="29" t="str">
        <f>'[1]1 lentelė'!C192</f>
        <v>R093305-330000-3226</v>
      </c>
      <c r="D196" s="26" t="str">
        <f>'1 lentelė'!D198</f>
        <v>Buvusios Sedulinos mokyklos pastato pritaikymas Visagino kultūros centro ir bendruomenės reikmėms, įrengiant Kultūros, turizmo ir kūrybinio verslo miestą po vienu stogu.</v>
      </c>
      <c r="E196" s="26" t="s">
        <v>1436</v>
      </c>
      <c r="F196" s="26" t="s">
        <v>1437</v>
      </c>
      <c r="G196" s="26">
        <v>1</v>
      </c>
      <c r="H196" s="23"/>
      <c r="I196" s="23"/>
      <c r="J196" s="23"/>
      <c r="K196" s="23"/>
      <c r="L196" s="23"/>
      <c r="M196" s="23"/>
      <c r="N196" s="23"/>
      <c r="O196" s="23"/>
      <c r="P196" s="23"/>
      <c r="Q196" s="48"/>
      <c r="R196" s="48"/>
      <c r="S196" s="48"/>
      <c r="T196" s="48"/>
      <c r="U196" s="48"/>
      <c r="V196" s="48"/>
    </row>
    <row r="197" spans="2:25" ht="78" hidden="1" customHeight="1" x14ac:dyDescent="0.25">
      <c r="B197" s="29" t="str">
        <f>'[1]1 lentelė'!B193</f>
        <v>3.2.4.1.5</v>
      </c>
      <c r="C197" s="29" t="str">
        <f>'[1]1 lentelė'!C193</f>
        <v>R093305-330000-3227</v>
      </c>
      <c r="D197" s="26" t="str">
        <f>'1 lentelė'!D199</f>
        <v>Lietuvos etnokosmologijos muziejaus paslaugų plėtros baigiamasis etapas</v>
      </c>
      <c r="E197" s="26" t="s">
        <v>1436</v>
      </c>
      <c r="F197" s="26" t="s">
        <v>1437</v>
      </c>
      <c r="G197" s="26">
        <v>1</v>
      </c>
      <c r="H197" s="23"/>
      <c r="I197" s="23"/>
      <c r="J197" s="23"/>
      <c r="K197" s="23"/>
      <c r="L197" s="23"/>
      <c r="M197" s="23"/>
      <c r="N197" s="23"/>
      <c r="O197" s="23"/>
      <c r="P197" s="23"/>
      <c r="Q197" s="48"/>
      <c r="R197" s="48"/>
      <c r="S197" s="48"/>
      <c r="T197" s="48"/>
      <c r="U197" s="48"/>
      <c r="V197" s="48"/>
    </row>
    <row r="198" spans="2:25" ht="63" hidden="1" customHeight="1" x14ac:dyDescent="0.25">
      <c r="B198" s="29" t="str">
        <f>'[1]1 lentelė'!B194</f>
        <v>3.2.4.1.6</v>
      </c>
      <c r="C198" s="29" t="str">
        <f>'[1]1 lentelė'!C194</f>
        <v>R093305-330000-3228</v>
      </c>
      <c r="D198" s="26" t="str">
        <f>'1 lentelė'!D200</f>
        <v>Utenos A. ir M. Miškinių viešosios bibliotekos modernizavimas</v>
      </c>
      <c r="E198" s="26" t="s">
        <v>1436</v>
      </c>
      <c r="F198" s="26" t="s">
        <v>1437</v>
      </c>
      <c r="G198" s="26">
        <v>1</v>
      </c>
      <c r="H198" s="23"/>
      <c r="I198" s="23"/>
      <c r="J198" s="23"/>
      <c r="K198" s="23"/>
      <c r="L198" s="23"/>
      <c r="M198" s="23"/>
      <c r="N198" s="23"/>
      <c r="O198" s="23"/>
      <c r="P198" s="23"/>
      <c r="Q198" s="48"/>
      <c r="R198" s="48"/>
      <c r="S198" s="48"/>
      <c r="T198" s="48"/>
      <c r="U198" s="48"/>
      <c r="V198" s="48"/>
    </row>
    <row r="199" spans="2:25" ht="45" hidden="1" customHeight="1" x14ac:dyDescent="0.25">
      <c r="B199" s="42" t="str">
        <f>'[1]1 lentelė'!B195</f>
        <v>3.2.5</v>
      </c>
      <c r="C199" s="42"/>
      <c r="D199" s="42" t="str">
        <f>'1 lentelė'!D201</f>
        <v>Uždavinys: Gerinti viešąjį valdymą</v>
      </c>
      <c r="E199" s="42"/>
      <c r="F199" s="43"/>
      <c r="G199" s="43"/>
      <c r="H199" s="42"/>
      <c r="I199" s="42"/>
      <c r="J199" s="43"/>
      <c r="K199" s="43"/>
      <c r="L199" s="42"/>
      <c r="M199" s="42"/>
      <c r="N199" s="43"/>
      <c r="O199" s="43"/>
      <c r="P199" s="42"/>
      <c r="Q199" s="42"/>
      <c r="R199" s="42"/>
      <c r="S199" s="42"/>
      <c r="T199" s="42"/>
      <c r="U199" s="42"/>
      <c r="V199" s="42"/>
    </row>
    <row r="200" spans="2:25" ht="95.25" hidden="1" customHeight="1" x14ac:dyDescent="0.25">
      <c r="B200" s="44" t="str">
        <f>'[1]1 lentelė'!B196</f>
        <v>3.2.5.1</v>
      </c>
      <c r="C200" s="44"/>
      <c r="D200" s="44" t="str">
        <f>'1 lentelė'!D202</f>
        <v>Priemonė: Paslaugų ir asmenų aptarnavimo kokybės gerinimas savivaldybėse</v>
      </c>
      <c r="E200" s="44"/>
      <c r="F200" s="44"/>
      <c r="G200" s="44"/>
      <c r="H200" s="44"/>
      <c r="I200" s="44"/>
      <c r="J200" s="44"/>
      <c r="K200" s="44"/>
      <c r="L200" s="44"/>
      <c r="M200" s="44"/>
      <c r="N200" s="44"/>
      <c r="O200" s="44"/>
      <c r="P200" s="44"/>
      <c r="Q200" s="44"/>
      <c r="R200" s="44"/>
      <c r="S200" s="44"/>
      <c r="T200" s="44"/>
      <c r="U200" s="44"/>
      <c r="V200" s="44"/>
    </row>
    <row r="201" spans="2:25" ht="270" hidden="1" customHeight="1" x14ac:dyDescent="0.25">
      <c r="B201" s="29" t="str">
        <f>'[1]1 lentelė'!B197</f>
        <v>3.2.5.1.1</v>
      </c>
      <c r="C201" s="29" t="str">
        <f>'[1]1 lentelė'!C197</f>
        <v>R099920-490000-3229</v>
      </c>
      <c r="D201" s="29" t="str">
        <f>'1 lentelė'!D203</f>
        <v>Paslaugų ir asmenų aptarnavimo kokybės gerinimas Visagino  savivaldybėje</v>
      </c>
      <c r="E201" s="26" t="s">
        <v>1438</v>
      </c>
      <c r="F201" s="26" t="s">
        <v>1439</v>
      </c>
      <c r="G201" s="26">
        <v>1</v>
      </c>
      <c r="H201" s="26" t="s">
        <v>1440</v>
      </c>
      <c r="I201" s="26" t="s">
        <v>1441</v>
      </c>
      <c r="J201" s="26">
        <v>75</v>
      </c>
      <c r="K201" s="26" t="s">
        <v>1442</v>
      </c>
      <c r="L201" s="26" t="s">
        <v>1443</v>
      </c>
      <c r="M201" s="26">
        <v>1</v>
      </c>
      <c r="N201" s="26"/>
      <c r="O201" s="26"/>
      <c r="P201" s="26"/>
      <c r="Q201" s="65"/>
      <c r="R201" s="65"/>
      <c r="S201" s="65"/>
      <c r="T201" s="65"/>
      <c r="U201" s="65"/>
      <c r="V201" s="65"/>
      <c r="W201" s="27"/>
      <c r="X201" s="27"/>
      <c r="Y201" s="27"/>
    </row>
    <row r="202" spans="2:25" ht="271.5" hidden="1" customHeight="1" x14ac:dyDescent="0.25">
      <c r="B202" s="29" t="str">
        <f>'[1]1 lentelė'!B198</f>
        <v>3.2.5.1.2</v>
      </c>
      <c r="C202" s="29" t="str">
        <f>'[1]1 lentelė'!C198</f>
        <v>R099920-490000-3230</v>
      </c>
      <c r="D202" s="29" t="str">
        <f>'1 lentelė'!D204</f>
        <v>Paslaugų ir asmenų aptarnavimo kokybės gerinimas Molėtų rajono savivaldybėje</v>
      </c>
      <c r="E202" s="26" t="s">
        <v>1438</v>
      </c>
      <c r="F202" s="26" t="s">
        <v>1439</v>
      </c>
      <c r="G202" s="26">
        <v>1</v>
      </c>
      <c r="H202" s="26" t="s">
        <v>1440</v>
      </c>
      <c r="I202" s="26" t="s">
        <v>1441</v>
      </c>
      <c r="J202" s="26">
        <v>40</v>
      </c>
      <c r="K202" s="320"/>
      <c r="L202" s="320"/>
      <c r="M202" s="26"/>
      <c r="N202" s="26"/>
      <c r="O202" s="26"/>
      <c r="P202" s="26"/>
      <c r="Q202" s="65"/>
      <c r="R202" s="65"/>
      <c r="S202" s="65"/>
      <c r="T202" s="65"/>
      <c r="U202" s="65"/>
      <c r="V202" s="65"/>
      <c r="W202" s="27"/>
      <c r="X202" s="27"/>
      <c r="Y202" s="27"/>
    </row>
    <row r="203" spans="2:25" ht="293.25" hidden="1" x14ac:dyDescent="0.25">
      <c r="B203" s="29" t="str">
        <f>'[1]1 lentelė'!B199</f>
        <v xml:space="preserve"> 3.2.5.1.3</v>
      </c>
      <c r="C203" s="29" t="str">
        <f>'[1]1 lentelė'!C199</f>
        <v>R099920-490000-3231</v>
      </c>
      <c r="D203" s="29" t="str">
        <f>'1 lentelė'!D205</f>
        <v>Paslaugų ir asmenų aptarnavimo kokybės gerinimas Zarasų rajono savivaldybėje</v>
      </c>
      <c r="E203" s="26" t="s">
        <v>1438</v>
      </c>
      <c r="F203" s="26" t="s">
        <v>1439</v>
      </c>
      <c r="G203" s="26">
        <v>13</v>
      </c>
      <c r="H203" s="26" t="s">
        <v>1440</v>
      </c>
      <c r="I203" s="26" t="s">
        <v>1441</v>
      </c>
      <c r="J203" s="26">
        <v>25</v>
      </c>
      <c r="K203" s="26" t="s">
        <v>1442</v>
      </c>
      <c r="L203" s="26" t="s">
        <v>1443</v>
      </c>
      <c r="M203" s="26">
        <v>1</v>
      </c>
      <c r="N203" s="26"/>
      <c r="O203" s="26"/>
      <c r="P203" s="26"/>
      <c r="Q203" s="65"/>
      <c r="R203" s="65"/>
      <c r="S203" s="65"/>
      <c r="T203" s="65"/>
      <c r="U203" s="65"/>
      <c r="V203" s="65"/>
      <c r="W203" s="27"/>
      <c r="X203" s="27"/>
      <c r="Y203" s="27"/>
    </row>
    <row r="204" spans="2:25" ht="269.25" hidden="1" customHeight="1" x14ac:dyDescent="0.25">
      <c r="B204" s="29" t="str">
        <f>'[1]1 lentelė'!B200</f>
        <v>3.2.5.1.4</v>
      </c>
      <c r="C204" s="29" t="str">
        <f>'[1]1 lentelė'!C200</f>
        <v>R099920-490000-3232</v>
      </c>
      <c r="D204" s="29" t="str">
        <f>'1 lentelė'!D206</f>
        <v>Paslaugų ir asmenų aptarnavimo kokybės gerinimas Utenos rajono savivaldybėje, I etapas</v>
      </c>
      <c r="E204" s="26" t="s">
        <v>1438</v>
      </c>
      <c r="F204" s="26" t="s">
        <v>1439</v>
      </c>
      <c r="G204" s="26">
        <v>3</v>
      </c>
      <c r="H204" s="26" t="s">
        <v>1440</v>
      </c>
      <c r="I204" s="26" t="s">
        <v>1444</v>
      </c>
      <c r="J204" s="26">
        <v>15</v>
      </c>
      <c r="K204" s="26" t="s">
        <v>220</v>
      </c>
      <c r="L204" s="26"/>
      <c r="M204" s="26"/>
      <c r="N204" s="26"/>
      <c r="O204" s="26"/>
      <c r="P204" s="26"/>
      <c r="Q204" s="65"/>
      <c r="R204" s="65"/>
      <c r="S204" s="65"/>
      <c r="T204" s="65"/>
      <c r="U204" s="65"/>
      <c r="V204" s="65"/>
      <c r="W204" s="27"/>
      <c r="X204" s="27"/>
      <c r="Y204" s="27"/>
    </row>
    <row r="205" spans="2:25" ht="268.5" hidden="1" customHeight="1" x14ac:dyDescent="0.25">
      <c r="B205" s="29" t="str">
        <f>'[1]1 lentelė'!B201</f>
        <v xml:space="preserve"> 3.2.5.1.5</v>
      </c>
      <c r="C205" s="29" t="str">
        <f>'[1]1 lentelė'!C201</f>
        <v>R099920-490000-3233</v>
      </c>
      <c r="D205" s="29" t="str">
        <f>'1 lentelė'!D207</f>
        <v>Paslaugų ir asmenų aptarnavimo kokybės gerinimas Anykščių savivaldybėje</v>
      </c>
      <c r="E205" s="26" t="s">
        <v>1438</v>
      </c>
      <c r="F205" s="26" t="s">
        <v>1439</v>
      </c>
      <c r="G205" s="26">
        <v>2</v>
      </c>
      <c r="H205" s="26" t="s">
        <v>1440</v>
      </c>
      <c r="I205" s="26" t="s">
        <v>1444</v>
      </c>
      <c r="J205" s="26">
        <v>36</v>
      </c>
      <c r="K205" s="26" t="s">
        <v>1442</v>
      </c>
      <c r="L205" s="26" t="s">
        <v>1443</v>
      </c>
      <c r="M205" s="26">
        <v>1</v>
      </c>
      <c r="N205" s="26"/>
      <c r="O205" s="26"/>
      <c r="P205" s="26"/>
      <c r="Q205" s="65"/>
      <c r="R205" s="65"/>
      <c r="S205" s="65"/>
      <c r="T205" s="65"/>
      <c r="U205" s="65"/>
      <c r="V205" s="65"/>
      <c r="W205" s="27"/>
      <c r="X205" s="27"/>
      <c r="Y205" s="27"/>
    </row>
    <row r="206" spans="2:25" ht="293.25" hidden="1" x14ac:dyDescent="0.25">
      <c r="B206" s="29" t="str">
        <f>'[1]1 lentelė'!B202</f>
        <v xml:space="preserve"> 3.2.5.1.6</v>
      </c>
      <c r="C206" s="29" t="str">
        <f>'[1]1 lentelė'!C202</f>
        <v>R099920-490000-3234</v>
      </c>
      <c r="D206" s="29" t="str">
        <f>'1 lentelė'!D208</f>
        <v>Paslaugų ir asmenų aptarnavimo kokybės gerinimas Ignalinos rajono savivaldybėje</v>
      </c>
      <c r="E206" s="26" t="s">
        <v>1438</v>
      </c>
      <c r="F206" s="26" t="s">
        <v>1439</v>
      </c>
      <c r="G206" s="26">
        <v>2</v>
      </c>
      <c r="H206" s="26" t="s">
        <v>1440</v>
      </c>
      <c r="I206" s="26" t="s">
        <v>1444</v>
      </c>
      <c r="J206" s="26">
        <v>85</v>
      </c>
      <c r="K206" s="26" t="s">
        <v>1442</v>
      </c>
      <c r="L206" s="26" t="s">
        <v>1443</v>
      </c>
      <c r="M206" s="26">
        <v>1</v>
      </c>
      <c r="N206" s="26"/>
      <c r="O206" s="26"/>
      <c r="P206" s="26"/>
      <c r="Q206" s="26"/>
      <c r="R206" s="26"/>
      <c r="S206" s="26"/>
      <c r="T206" s="65"/>
      <c r="U206" s="65"/>
      <c r="V206" s="65"/>
      <c r="W206" s="27"/>
      <c r="X206" s="27"/>
      <c r="Y206" s="27"/>
    </row>
    <row r="207" spans="2:25" ht="293.25" hidden="1" x14ac:dyDescent="0.25">
      <c r="B207" s="29" t="str">
        <f>'[1]1 lentelė'!B203</f>
        <v>3.2.5.1.8</v>
      </c>
      <c r="C207" s="29" t="str">
        <f>'[1]1 lentelė'!C203</f>
        <v>R099920-490000-3236</v>
      </c>
      <c r="D207" s="29" t="str">
        <f>'1 lentelė'!D209</f>
        <v>Paslaugų ir asmenų aptarnavimo kokybės gerinimas Utenos rajono seniūnijose</v>
      </c>
      <c r="E207" s="26" t="s">
        <v>1438</v>
      </c>
      <c r="F207" s="23" t="s">
        <v>1439</v>
      </c>
      <c r="G207" s="23">
        <v>1</v>
      </c>
      <c r="H207" s="26" t="s">
        <v>1440</v>
      </c>
      <c r="I207" s="26" t="s">
        <v>1444</v>
      </c>
      <c r="J207" s="23">
        <v>20</v>
      </c>
      <c r="K207" s="23"/>
      <c r="L207" s="23"/>
      <c r="M207" s="23"/>
      <c r="N207" s="23"/>
      <c r="O207" s="23"/>
      <c r="P207" s="23"/>
      <c r="Q207" s="48"/>
      <c r="R207" s="48"/>
      <c r="S207" s="48"/>
      <c r="T207" s="48"/>
      <c r="U207" s="48"/>
      <c r="V207" s="48"/>
    </row>
    <row r="208" spans="2:25" s="291" customFormat="1" x14ac:dyDescent="0.25">
      <c r="B208" s="80"/>
      <c r="P208" s="348"/>
      <c r="Q208" s="348"/>
      <c r="R208" s="348"/>
      <c r="S208" s="348"/>
    </row>
    <row r="210" spans="2:22" ht="36.75" customHeight="1" x14ac:dyDescent="0.25"/>
    <row r="211" spans="2:22" ht="36.75" customHeight="1" x14ac:dyDescent="0.25"/>
    <row r="212" spans="2:22" ht="36.75" customHeight="1" x14ac:dyDescent="0.25"/>
    <row r="213" spans="2:22" ht="36.75" customHeight="1" x14ac:dyDescent="0.25"/>
    <row r="214" spans="2:22" ht="36.75" customHeight="1" x14ac:dyDescent="0.25"/>
    <row r="215" spans="2:22" hidden="1" x14ac:dyDescent="0.25">
      <c r="B215" s="6" t="s">
        <v>859</v>
      </c>
      <c r="G215" s="349">
        <f>SUBTOTAL(9,G9:G205)</f>
        <v>1074943.6059999997</v>
      </c>
      <c r="H215" s="349"/>
      <c r="I215" s="349"/>
      <c r="J215" s="349">
        <f t="shared" ref="J215:V215" si="2">SUBTOTAL(9,J9:J205)</f>
        <v>15010.528000000002</v>
      </c>
      <c r="K215" s="349"/>
      <c r="L215" s="349"/>
      <c r="M215" s="349">
        <f t="shared" si="2"/>
        <v>3440.4059999999999</v>
      </c>
      <c r="N215" s="349"/>
      <c r="O215" s="349"/>
      <c r="P215" s="349">
        <f t="shared" si="2"/>
        <v>1423.74</v>
      </c>
      <c r="Q215" s="349"/>
      <c r="R215" s="349"/>
      <c r="S215" s="349">
        <f t="shared" si="2"/>
        <v>1123</v>
      </c>
      <c r="T215" s="349"/>
      <c r="U215" s="349"/>
      <c r="V215" s="349">
        <f t="shared" si="2"/>
        <v>2221</v>
      </c>
    </row>
  </sheetData>
  <autoFilter ref="E8:V205"/>
  <mergeCells count="4">
    <mergeCell ref="C7:C8"/>
    <mergeCell ref="D7:D8"/>
    <mergeCell ref="B7:B8"/>
    <mergeCell ref="E7:V7"/>
  </mergeCells>
  <pageMargins left="0.25" right="0.25" top="0.75" bottom="0.75" header="0.3" footer="0.3"/>
  <pageSetup paperSize="8" scale="8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7"/>
  <sheetViews>
    <sheetView tabSelected="1" view="pageBreakPreview" zoomScaleNormal="100" zoomScaleSheetLayoutView="100" workbookViewId="0">
      <pane ySplit="8" topLeftCell="A9" activePane="bottomLeft" state="frozen"/>
      <selection pane="bottomLeft" activeCell="D86" sqref="D86"/>
    </sheetView>
  </sheetViews>
  <sheetFormatPr defaultRowHeight="15.75" x14ac:dyDescent="0.25"/>
  <cols>
    <col min="1" max="1" width="4.42578125" style="6" customWidth="1"/>
    <col min="2" max="2" width="9.42578125" style="6" customWidth="1"/>
    <col min="3" max="3" width="9.140625" style="6"/>
    <col min="4" max="4" width="28" style="6" customWidth="1"/>
    <col min="5" max="5" width="52" style="4" customWidth="1"/>
    <col min="6" max="6" width="9.140625" style="6" customWidth="1"/>
    <col min="7" max="16384" width="9.140625" style="6"/>
  </cols>
  <sheetData>
    <row r="1" spans="1:21" ht="15.75" customHeight="1" x14ac:dyDescent="0.25">
      <c r="E1" s="7" t="s">
        <v>9</v>
      </c>
      <c r="F1" s="7"/>
      <c r="G1" s="7"/>
    </row>
    <row r="2" spans="1:21" x14ac:dyDescent="0.25">
      <c r="E2" s="8" t="s">
        <v>1</v>
      </c>
      <c r="F2" s="8"/>
      <c r="G2" s="8"/>
    </row>
    <row r="3" spans="1:21" x14ac:dyDescent="0.25">
      <c r="E3" s="8" t="s">
        <v>2</v>
      </c>
      <c r="F3" s="8"/>
      <c r="G3" s="8"/>
    </row>
    <row r="4" spans="1:21" x14ac:dyDescent="0.25">
      <c r="A4" s="350" t="s">
        <v>1531</v>
      </c>
    </row>
    <row r="5" spans="1:21" x14ac:dyDescent="0.25">
      <c r="B5" s="5" t="s">
        <v>34</v>
      </c>
      <c r="E5" s="6"/>
      <c r="K5" s="8"/>
      <c r="L5" s="8"/>
      <c r="M5" s="8"/>
      <c r="O5" s="8"/>
      <c r="P5" s="8"/>
      <c r="Q5" s="8"/>
    </row>
    <row r="6" spans="1:21" x14ac:dyDescent="0.25">
      <c r="B6" s="5"/>
      <c r="E6" s="6"/>
      <c r="K6" s="8"/>
      <c r="L6" s="8"/>
      <c r="M6" s="8"/>
      <c r="O6" s="8"/>
      <c r="P6" s="8"/>
      <c r="Q6" s="8"/>
    </row>
    <row r="7" spans="1:21" x14ac:dyDescent="0.25">
      <c r="B7" s="9" t="s">
        <v>48</v>
      </c>
    </row>
    <row r="8" spans="1:21" ht="30" customHeight="1" x14ac:dyDescent="0.25">
      <c r="B8" s="343" t="s">
        <v>19</v>
      </c>
      <c r="C8" s="343" t="s">
        <v>17</v>
      </c>
      <c r="D8" s="343" t="s">
        <v>14</v>
      </c>
      <c r="E8" s="343" t="s">
        <v>44</v>
      </c>
    </row>
    <row r="9" spans="1:21" ht="24" hidden="1" customHeight="1" x14ac:dyDescent="0.25">
      <c r="B9" s="15" t="s">
        <v>0</v>
      </c>
      <c r="C9" s="15"/>
      <c r="D9" s="15" t="s">
        <v>50</v>
      </c>
      <c r="E9" s="10"/>
    </row>
    <row r="10" spans="1:21" ht="89.25" hidden="1" x14ac:dyDescent="0.25">
      <c r="B10" s="17" t="s">
        <v>51</v>
      </c>
      <c r="C10" s="18"/>
      <c r="D10" s="17" t="s">
        <v>52</v>
      </c>
      <c r="E10" s="17"/>
    </row>
    <row r="11" spans="1:21" ht="51" hidden="1" x14ac:dyDescent="0.25">
      <c r="B11" s="19" t="s">
        <v>53</v>
      </c>
      <c r="C11" s="20"/>
      <c r="D11" s="20" t="s">
        <v>54</v>
      </c>
      <c r="E11" s="20"/>
    </row>
    <row r="12" spans="1:21" ht="25.5" hidden="1" x14ac:dyDescent="0.25">
      <c r="B12" s="21" t="s">
        <v>55</v>
      </c>
      <c r="C12" s="21"/>
      <c r="D12" s="21" t="s">
        <v>56</v>
      </c>
      <c r="E12" s="21"/>
    </row>
    <row r="13" spans="1:21" ht="264" hidden="1" x14ac:dyDescent="0.25">
      <c r="B13" s="29" t="str">
        <f>'[3]1 lentelė'!B13</f>
        <v>1.1.1.1.1</v>
      </c>
      <c r="C13" s="29" t="str">
        <f>'[3]1 lentelė'!C13</f>
        <v>R099905-342900-1101</v>
      </c>
      <c r="D13" s="29" t="str">
        <f>'[3]1 lentelė'!D13</f>
        <v>Anykščių miesto viešųjų erdvių sistemos pertvarkymas (I etapas)</v>
      </c>
      <c r="E13" s="70" t="s">
        <v>758</v>
      </c>
    </row>
    <row r="14" spans="1:21" ht="228" hidden="1" x14ac:dyDescent="0.25">
      <c r="B14" s="29" t="str">
        <f>'[3]1 lentelė'!B14</f>
        <v>1.1.1.1.2</v>
      </c>
      <c r="C14" s="29" t="str">
        <f>'[3]1 lentelė'!C14</f>
        <v>R099905-280000-1102</v>
      </c>
      <c r="D14" s="29" t="str">
        <f>'[3]1 lentelė'!D14</f>
        <v xml:space="preserve">Anykščių miesto viešųjų erdvių sistemos pertvarkymas (II etapas) </v>
      </c>
      <c r="E14" s="70" t="s">
        <v>754</v>
      </c>
    </row>
    <row r="15" spans="1:21" ht="255" hidden="1" customHeight="1" x14ac:dyDescent="0.25">
      <c r="B15" s="29" t="str">
        <f>'[3]1 lentelė'!B15</f>
        <v>1.1.1.1.3</v>
      </c>
      <c r="C15" s="29" t="str">
        <f>'[3]1 lentelė'!C15</f>
        <v>R099905-320000-1103</v>
      </c>
      <c r="D15" s="29" t="str">
        <f>'[3]1 lentelė'!D15</f>
        <v xml:space="preserve">Bendruomeninės aktyvaus laisvalaikio infrastruktūros įrengimas Anykščių mieste  </v>
      </c>
      <c r="E15" s="70" t="s">
        <v>753</v>
      </c>
      <c r="U15" s="6" t="s">
        <v>766</v>
      </c>
    </row>
    <row r="16" spans="1:21" ht="300" hidden="1" x14ac:dyDescent="0.25">
      <c r="B16" s="29" t="str">
        <f>'[3]1 lentelė'!B16</f>
        <v xml:space="preserve">1.1.1.1.4   </v>
      </c>
      <c r="C16" s="29" t="str">
        <f>'[3]1 lentelė'!C16</f>
        <v>R099905-302804-1104</v>
      </c>
      <c r="D16" s="29" t="str">
        <f>'[3]1 lentelė'!D16</f>
        <v xml:space="preserve">Anykščių miesto viešųjų erdvių sistemos pertvarkymas (III etapas) </v>
      </c>
      <c r="E16" s="12" t="s">
        <v>764</v>
      </c>
      <c r="U16" s="6" t="s">
        <v>763</v>
      </c>
    </row>
    <row r="17" spans="2:21" ht="144" hidden="1" x14ac:dyDescent="0.25">
      <c r="B17" s="29" t="str">
        <f>'[3]1 lentelė'!B17</f>
        <v>1.1.1.1.5</v>
      </c>
      <c r="C17" s="29" t="str">
        <f>'[3]1 lentelė'!C17</f>
        <v>R099905-290000-1105</v>
      </c>
      <c r="D17" s="29" t="str">
        <f>'[3]1 lentelė'!D17</f>
        <v>Molėtų miesto Ąžuolų ir Kreivosios gatvių teritorijų išnaudojimas įrengiant universalią daugiafunkcinę aikštę</v>
      </c>
      <c r="E17" s="70" t="s">
        <v>751</v>
      </c>
    </row>
    <row r="18" spans="2:21" ht="144" hidden="1" x14ac:dyDescent="0.25">
      <c r="B18" s="29" t="str">
        <f>'[3]1 lentelė'!B18</f>
        <v>1.1.1.1.6</v>
      </c>
      <c r="C18" s="29" t="str">
        <f>'[3]1 lentelė'!C18</f>
        <v>R099905-302900-1106</v>
      </c>
      <c r="D18" s="29" t="str">
        <f>'[3]1 lentelė'!D18</f>
        <v>Molėtų miesto centrinės dalies kompleksinis sutvarkymas (II etapas)</v>
      </c>
      <c r="E18" s="70" t="s">
        <v>761</v>
      </c>
    </row>
    <row r="19" spans="2:21" ht="108" hidden="1" x14ac:dyDescent="0.25">
      <c r="B19" s="29" t="str">
        <f>'[3]1 lentelė'!B19</f>
        <v>1.1.1.1.7</v>
      </c>
      <c r="C19" s="29" t="str">
        <f>'[3]1 lentelė'!C19</f>
        <v>R099905-293400-1107</v>
      </c>
      <c r="D19" s="29" t="str">
        <f>'[3]1 lentelė'!D19</f>
        <v>Prekybos ir paslaugų pasažo įrengimas D. Bukonto gatvėje Zarasų mieste</v>
      </c>
      <c r="E19" s="70" t="s">
        <v>1076</v>
      </c>
      <c r="U19" s="6" t="s">
        <v>763</v>
      </c>
    </row>
    <row r="20" spans="2:21" ht="168" hidden="1" x14ac:dyDescent="0.25">
      <c r="B20" s="29" t="str">
        <f>'[3]1 lentelė'!B20</f>
        <v xml:space="preserve">1.1.1.1.8 </v>
      </c>
      <c r="C20" s="29" t="str">
        <f>'[3]1 lentelė'!C20</f>
        <v>R099905-290000-1108</v>
      </c>
      <c r="D20" s="29" t="str">
        <f>'[3]1 lentelė'!D20</f>
        <v xml:space="preserve">Zarasų miesto viešųjų erdvių kompleksinis sutvarkymas teritorijoje tarp Dariaus ir Girėno g. bei Šiaulių g. ir dviejuose daugiabučių kiemuose P. Širvio gatvėje </v>
      </c>
      <c r="E20" s="70" t="s">
        <v>757</v>
      </c>
    </row>
    <row r="21" spans="2:21" ht="240" hidden="1" x14ac:dyDescent="0.25">
      <c r="B21" s="29" t="str">
        <f>'[3]1 lentelė'!B21</f>
        <v>1.1.1.1.9</v>
      </c>
      <c r="C21" s="29" t="str">
        <f>'[3]1 lentelė'!C21</f>
        <v>R099905-290000-1119</v>
      </c>
      <c r="D21" s="29" t="str">
        <f>'[3]1 lentelė'!D21</f>
        <v xml:space="preserve">Molėtų miesto centrinės dalies kompleksinis sutvarkymas (I etapas) </v>
      </c>
      <c r="E21" s="70" t="s">
        <v>759</v>
      </c>
    </row>
    <row r="22" spans="2:21" ht="276" hidden="1" x14ac:dyDescent="0.25">
      <c r="B22" s="29" t="str">
        <f>'[3]1 lentelė'!B22</f>
        <v xml:space="preserve">1.1.1.1.10 </v>
      </c>
      <c r="C22" s="29" t="str">
        <f>'[3]1 lentelė'!C22</f>
        <v>R099905-282900-1110</v>
      </c>
      <c r="D22" s="29" t="str">
        <f>'[3]1 lentelė'!D22</f>
        <v xml:space="preserve">Viešųjų erdvių Zarasų miesto Didžiojoje saloje sutvarkymas </v>
      </c>
      <c r="E22" s="70" t="s">
        <v>756</v>
      </c>
    </row>
    <row r="23" spans="2:21" ht="168" hidden="1" x14ac:dyDescent="0.25">
      <c r="B23" s="29" t="str">
        <f>'[3]1 lentelė'!B23</f>
        <v xml:space="preserve">1.1.1.1.11 </v>
      </c>
      <c r="C23" s="29" t="str">
        <f>'[3]1 lentelė'!C23</f>
        <v>R099905-282900-1111</v>
      </c>
      <c r="D23" s="29" t="str">
        <f>'[3]1 lentelė'!D23</f>
        <v xml:space="preserve">Viešųjų erdvių prie Zarasaičio ežero sutvarkymas ir aktyvaus poilsio infrastruktūros įrengimas </v>
      </c>
      <c r="E23" s="70" t="s">
        <v>762</v>
      </c>
      <c r="U23" s="6" t="s">
        <v>763</v>
      </c>
    </row>
    <row r="24" spans="2:21" ht="243.75" hidden="1" customHeight="1" x14ac:dyDescent="0.25">
      <c r="B24" s="29" t="str">
        <f>'[3]1 lentelė'!B24</f>
        <v>1.1.1.1.12</v>
      </c>
      <c r="C24" s="29" t="str">
        <f>'[3]1 lentelė'!C24</f>
        <v>R099905-281900-1112</v>
      </c>
      <c r="D24" s="29" t="str">
        <f>'[3]1 lentelė'!D24</f>
        <v xml:space="preserve">Viešosios aktyvaus laisvalaikio infrastruktūros plėtra Molėtų mieste, II etapas </v>
      </c>
      <c r="E24" s="70" t="s">
        <v>752</v>
      </c>
    </row>
    <row r="25" spans="2:21" ht="111.75" hidden="1" customHeight="1" x14ac:dyDescent="0.25">
      <c r="B25" s="29" t="str">
        <f>'[3]1 lentelė'!B25</f>
        <v>1.1.1.1.13</v>
      </c>
      <c r="C25" s="29" t="str">
        <f>'[3]1 lentelė'!C25</f>
        <v>R099905-302900-1113</v>
      </c>
      <c r="D25" s="29" t="str">
        <f>'[3]1 lentelė'!D25</f>
        <v xml:space="preserve">Molėtų miesto J. Janonio g. gyvenamojo kvartalo viešosios infrastruktūros sutvarkymas </v>
      </c>
      <c r="E25" s="70" t="s">
        <v>760</v>
      </c>
      <c r="U25" s="6" t="s">
        <v>765</v>
      </c>
    </row>
    <row r="26" spans="2:21" ht="108" hidden="1" x14ac:dyDescent="0.25">
      <c r="B26" s="29" t="str">
        <f>'[3]1 lentelė'!B26</f>
        <v xml:space="preserve">1.1.1.1.14 </v>
      </c>
      <c r="C26" s="29" t="str">
        <f>'[3]1 lentelė'!C26</f>
        <v>R099905-243200-1114</v>
      </c>
      <c r="D26" s="29" t="str">
        <f>'[3]1 lentelė'!D26</f>
        <v xml:space="preserve">Zarasų Pauliaus Širvio progimnazijos sporto aikštyno įrengimas </v>
      </c>
      <c r="E26" s="70" t="s">
        <v>755</v>
      </c>
    </row>
    <row r="27" spans="2:21" ht="63" hidden="1" customHeight="1" x14ac:dyDescent="0.25">
      <c r="B27" s="29" t="str">
        <f>'1 lentelė'!B27</f>
        <v>1.1.1.1.15</v>
      </c>
      <c r="C27" s="29" t="str">
        <f>'1 lentelė'!C27</f>
        <v>R02-9906-290000-1115</v>
      </c>
      <c r="D27" s="29" t="str">
        <f>'1 lentelė'!D27</f>
        <v>Autobusų stoties su turizmo informacijos centru įrengimas Visagino savivaldybėje</v>
      </c>
      <c r="E27" s="70" t="s">
        <v>1487</v>
      </c>
    </row>
    <row r="28" spans="2:21" ht="84" hidden="1" x14ac:dyDescent="0.25">
      <c r="B28" s="29" t="str">
        <f>'1 lentelė'!B28</f>
        <v>1.1.1.1.16</v>
      </c>
      <c r="C28" s="29" t="str">
        <f>'1 lentelė'!C28</f>
        <v>R02-9906-290000-1116</v>
      </c>
      <c r="D28" s="29" t="str">
        <f>'1 lentelė'!D28</f>
        <v>Jungties nuo geležinkelio stoties iki Visagino miesto centro kartu su etnokultūrų parku įrengimas</v>
      </c>
      <c r="E28" s="70" t="s">
        <v>1488</v>
      </c>
    </row>
    <row r="29" spans="2:21" ht="110.25" hidden="1" customHeight="1" x14ac:dyDescent="0.25">
      <c r="B29" s="29" t="str">
        <f>'1 lentelė'!B29</f>
        <v>1.1.1.1.17</v>
      </c>
      <c r="C29" s="29" t="str">
        <f>'1 lentelė'!C29</f>
        <v>R02-9906-290000-1117</v>
      </c>
      <c r="D29" s="29" t="str">
        <f>'1 lentelė'!D29</f>
        <v>Sedulinos alėjos atkarpos nuo Parko g. iki Visagino g. rekonstrukcija</v>
      </c>
      <c r="E29" s="70" t="s">
        <v>1489</v>
      </c>
    </row>
    <row r="30" spans="2:21" ht="67.5" hidden="1" customHeight="1" x14ac:dyDescent="0.25">
      <c r="B30" s="29" t="str">
        <f>'1 lentelė'!B30</f>
        <v>1.1.1.1.18</v>
      </c>
      <c r="C30" s="29" t="str">
        <f>'1 lentelė'!C30</f>
        <v>R02-9906-290000-1118</v>
      </c>
      <c r="D30" s="29" t="str">
        <f>'1 lentelė'!D30</f>
        <v>Visagino inovacijų klasterio įkūrimas</v>
      </c>
      <c r="E30" s="70" t="s">
        <v>1490</v>
      </c>
    </row>
    <row r="31" spans="2:21" ht="111.75" hidden="1"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70" t="s">
        <v>1529</v>
      </c>
    </row>
    <row r="32" spans="2:21" ht="25.5" hidden="1" x14ac:dyDescent="0.25">
      <c r="B32" s="21" t="str">
        <f>'[3]1 lentelė'!B27</f>
        <v>1.1.1.2</v>
      </c>
      <c r="C32" s="21"/>
      <c r="D32" s="21" t="str">
        <f>'[3]1 lentelė'!D27</f>
        <v>Priemonė: Pereinamojo laikotarpio tikslinių teritorijų vystymas</v>
      </c>
      <c r="E32" s="21"/>
    </row>
    <row r="33" spans="2:21" ht="79.5" hidden="1" customHeight="1" x14ac:dyDescent="0.25">
      <c r="B33" s="29" t="str">
        <f>'[3]1 lentelė'!B28</f>
        <v>1.1.1.2.1</v>
      </c>
      <c r="C33" s="29" t="str">
        <f>'[3]1 lentelė'!C28</f>
        <v>R099903-300000-1115</v>
      </c>
      <c r="D33" s="29" t="str">
        <f>'[3]1 lentelė'!D28</f>
        <v xml:space="preserve">Daugiabučių namų kvartalų Ignalinos mieste kompleksinis sutvarkymas </v>
      </c>
      <c r="E33" s="70" t="s">
        <v>767</v>
      </c>
    </row>
    <row r="34" spans="2:21" ht="183.75" hidden="1" customHeight="1" x14ac:dyDescent="0.25">
      <c r="B34" s="29" t="str">
        <f>'[3]1 lentelė'!B29</f>
        <v>1.1.1.2.2</v>
      </c>
      <c r="C34" s="29" t="str">
        <f>'[3]1 lentelė'!C29</f>
        <v>R099902-310000-1116</v>
      </c>
      <c r="D34" s="29" t="str">
        <f>'[3]1 lentelė'!D29</f>
        <v xml:space="preserve">Apleistų/avarinių pastatų nugriovimas ir teritorijos valymas, regeneruojant buvusį karinį miestelį </v>
      </c>
      <c r="E34" s="70" t="s">
        <v>769</v>
      </c>
    </row>
    <row r="35" spans="2:21" ht="288" hidden="1" x14ac:dyDescent="0.25">
      <c r="B35" s="29" t="str">
        <f>'[3]1 lentelė'!B30</f>
        <v>1.1.1.2.3</v>
      </c>
      <c r="C35" s="29" t="str">
        <f>'[3]1 lentelė'!C30</f>
        <v>R099902-300000-1117</v>
      </c>
      <c r="D35" s="29" t="str">
        <f>'[3]1 lentelė'!D30</f>
        <v xml:space="preserve">Dauniškio daugiabučių namų kvartalo teritorijos sutvarkymas </v>
      </c>
      <c r="E35" s="70" t="s">
        <v>768</v>
      </c>
      <c r="U35" s="6" t="s">
        <v>766</v>
      </c>
    </row>
    <row r="36" spans="2:21" ht="76.5" hidden="1" x14ac:dyDescent="0.25">
      <c r="B36" s="20" t="str">
        <f>'[3]1 lentelė'!B31</f>
        <v xml:space="preserve">1.1.2 </v>
      </c>
      <c r="C36" s="20">
        <f>'[3]1 lentelė'!C31</f>
        <v>0</v>
      </c>
      <c r="D36" s="20" t="str">
        <f>'[3]1 lentelė'!D31</f>
        <v>Uždavinys: Kompleksiškai atnaujinti 1-6 tūkst. gyventojų turinčių miestų (išskyrus savivaldybių centrus), miestelių ir kaimų bendruomeninę ir viešąją infrastruktūrą</v>
      </c>
      <c r="E36" s="20"/>
    </row>
    <row r="37" spans="2:21" ht="25.5" hidden="1" x14ac:dyDescent="0.25">
      <c r="B37" s="21" t="str">
        <f>'[3]1 lentelė'!B32</f>
        <v>1.1.2.1</v>
      </c>
      <c r="C37" s="21">
        <f>'[3]1 lentelė'!C32</f>
        <v>0</v>
      </c>
      <c r="D37" s="21" t="str">
        <f>'[3]1 lentelė'!D32</f>
        <v>Priemonė: Kaimo gyvenamųjų vietovių atnaujinimas</v>
      </c>
      <c r="E37" s="21"/>
    </row>
    <row r="38" spans="2:21" ht="228" hidden="1" x14ac:dyDescent="0.25">
      <c r="B38" s="29" t="str">
        <f>'[3]1 lentelė'!B33</f>
        <v>1.1.2.1.1</v>
      </c>
      <c r="C38" s="29" t="str">
        <f>'[3]1 lentelė'!C33</f>
        <v xml:space="preserve"> R099908-293300-1118</v>
      </c>
      <c r="D38" s="29" t="str">
        <f>'[3]1 lentelė'!D33</f>
        <v>Didžiasalio kaimo viešųjų erdvių atnaujinimas ir pastato dalies patalpų pritaikymas bendruomenės poreikiams</v>
      </c>
      <c r="E38" s="70" t="s">
        <v>770</v>
      </c>
      <c r="U38" s="6" t="s">
        <v>766</v>
      </c>
    </row>
    <row r="39" spans="2:21" ht="89.25" hidden="1" x14ac:dyDescent="0.25">
      <c r="B39" s="68" t="str">
        <f>'[3]1 lentelė'!B34</f>
        <v xml:space="preserve">1.1.3 </v>
      </c>
      <c r="C39" s="68">
        <f>'[3]1 lentelė'!C34</f>
        <v>0</v>
      </c>
      <c r="D39" s="68" t="str">
        <f>'[3]1 lentelė'!D34</f>
        <v>Uždavinys: Kompleksiškai atnaujinti mažiau kaip 1 tūkst. gyventojų turinčių miestų, miestelių ir kaimų (iki 1 tūkst. gyv.) viešąją infrastruktūrą (taikant kaimo plėtros politikos priemones)</v>
      </c>
      <c r="E39" s="42"/>
    </row>
    <row r="40" spans="2:21" ht="38.25" hidden="1" x14ac:dyDescent="0.25">
      <c r="B40" s="44" t="str">
        <f>'[3]1 lentelė'!B35</f>
        <v xml:space="preserve">1.1.3.1 </v>
      </c>
      <c r="C40" s="44"/>
      <c r="D40" s="44" t="str">
        <f>'[3]1 lentelė'!D35</f>
        <v>Priemonė (KPP veiklos sritis): Parama investicijoms į visų rūšių mažos apimties infrastruktūrą</v>
      </c>
      <c r="E40" s="44"/>
    </row>
    <row r="41" spans="2:21" ht="51" hidden="1" x14ac:dyDescent="0.25">
      <c r="B41" s="44" t="str">
        <f>'[3]1 lentelė'!B36</f>
        <v>1.1.3.2</v>
      </c>
      <c r="C41" s="44"/>
      <c r="D41" s="44" t="str">
        <f>'[3]1 lentelė'!D36</f>
        <v>Priemonė (KPP veiklos sritis): Parama investicijoms į kaimo kultūros ir gamtos paveldą, kraštovaizdį</v>
      </c>
      <c r="E41" s="44"/>
    </row>
    <row r="42" spans="2:21" ht="38.25" hidden="1" x14ac:dyDescent="0.25">
      <c r="B42" s="316" t="str">
        <f>'[3]1 lentelė'!B37</f>
        <v xml:space="preserve">1.2 </v>
      </c>
      <c r="C42" s="316"/>
      <c r="D42" s="316" t="str">
        <f>'[3]1 lentelė'!D37</f>
        <v>Tikslas: Modernios regiono transporto infrastruktūros ir darnaus judumo plėtojimas</v>
      </c>
      <c r="E42" s="45"/>
    </row>
    <row r="43" spans="2:21" ht="38.25" hidden="1" x14ac:dyDescent="0.25">
      <c r="B43" s="68" t="str">
        <f>'[3]1 lentelė'!B38</f>
        <v xml:space="preserve">1.2.1 </v>
      </c>
      <c r="C43" s="68"/>
      <c r="D43" s="68" t="str">
        <f>'[3]1 lentelė'!D38</f>
        <v>Uždavinys: Kompleksiškai modernizuoti kelių transporto infrastruktūrą</v>
      </c>
      <c r="E43" s="42"/>
    </row>
    <row r="44" spans="2:21" ht="15" hidden="1" x14ac:dyDescent="0.25">
      <c r="B44" s="44" t="str">
        <f>'[3]1 lentelė'!B39</f>
        <v>1.2.1.1</v>
      </c>
      <c r="C44" s="44"/>
      <c r="D44" s="44" t="str">
        <f>'[3]1 lentelė'!D39</f>
        <v>Priemonė:Vietinių kelių vystymas</v>
      </c>
      <c r="E44" s="44"/>
    </row>
    <row r="45" spans="2:21" ht="87" hidden="1" customHeight="1" x14ac:dyDescent="0.25">
      <c r="B45" s="29" t="str">
        <f>'[3]1 lentelė'!B40</f>
        <v>1.2.1.1.1</v>
      </c>
      <c r="C45" s="29" t="str">
        <f>'[3]1 lentelė'!C40</f>
        <v>R095511-110000-1201</v>
      </c>
      <c r="D45" s="29" t="str">
        <f>'[3]1 lentelė'!D40</f>
        <v>Gatvės Ignalinos miesto rekreacinėje zonoje tarp Gavio ežero ir Turistų gatvės įrengimas</v>
      </c>
      <c r="E45" s="70" t="s">
        <v>775</v>
      </c>
    </row>
    <row r="46" spans="2:21" ht="72" hidden="1" x14ac:dyDescent="0.25">
      <c r="B46" s="29" t="str">
        <f>'[3]1 lentelė'!B41</f>
        <v xml:space="preserve">1.2.1.1.2 </v>
      </c>
      <c r="C46" s="29" t="str">
        <f>'[3]1 lentelė'!C41</f>
        <v>R095511-120000-1202</v>
      </c>
      <c r="D46" s="29" t="str">
        <f>'[3]1 lentelė'!D41</f>
        <v>Zarasų gatvės rekonstrukcija Zarasų mieste</v>
      </c>
      <c r="E46" s="70" t="s">
        <v>1367</v>
      </c>
    </row>
    <row r="47" spans="2:21" ht="322.5" hidden="1" customHeight="1" x14ac:dyDescent="0.25">
      <c r="B47" s="29" t="str">
        <f>'[3]1 lentelė'!B42</f>
        <v>1.2.1.1.3</v>
      </c>
      <c r="C47" s="29" t="str">
        <f>'[3]1 lentelė'!C42</f>
        <v>R095511-121100-1203</v>
      </c>
      <c r="D47" s="29" t="str">
        <f>'[3]1 lentelė'!D42</f>
        <v xml:space="preserve">Susisiekimo sąlygų pagerinimas tarp kuriamų Anykščių miesto traukos centrų bei patogus gyvenamosios aplinkos pasiekiamumo užtikrinimas. </v>
      </c>
      <c r="E47" s="70" t="s">
        <v>771</v>
      </c>
    </row>
    <row r="48" spans="2:21" ht="279" hidden="1" customHeight="1" x14ac:dyDescent="0.25">
      <c r="B48" s="29" t="str">
        <f>'[3]1 lentelė'!B43</f>
        <v>1.2.1.1.4</v>
      </c>
      <c r="C48" s="29" t="str">
        <f>'[3]1 lentelė'!C43</f>
        <v>R095511-120000-1204</v>
      </c>
      <c r="D48" s="29" t="str">
        <f>'[3]1 lentelė'!D43</f>
        <v>Gyvenamosios aplinkos pasiekiamumo gerinimas Zarasų mieste rekonstruojant K. Donelaičio gatvę</v>
      </c>
      <c r="E48" s="70" t="s">
        <v>773</v>
      </c>
    </row>
    <row r="49" spans="2:21" ht="168" hidden="1" x14ac:dyDescent="0.25">
      <c r="B49" s="29" t="str">
        <f>'[3]1 lentelė'!B44</f>
        <v>1.2.1.1.5</v>
      </c>
      <c r="C49" s="29" t="str">
        <f>'[3]1 lentelė'!C44</f>
        <v>R095511-120000-1205</v>
      </c>
      <c r="D49" s="29" t="str">
        <f>'[3]1 lentelė'!D44</f>
        <v xml:space="preserve">Molėtų miesto Pastovio g., Siesarties g. ir S. Nėries g. rekonstrukcija </v>
      </c>
      <c r="E49" s="70" t="s">
        <v>772</v>
      </c>
    </row>
    <row r="50" spans="2:21" ht="132" hidden="1" x14ac:dyDescent="0.25">
      <c r="B50" s="29" t="str">
        <f>'[3]1 lentelė'!B45</f>
        <v>1.2.1.1.6</v>
      </c>
      <c r="C50" s="29" t="str">
        <f>'[3]1 lentelė'!C45</f>
        <v>R095511-120000-1206</v>
      </c>
      <c r="D50" s="29" t="str">
        <f>'[3]1 lentelė'!D45</f>
        <v xml:space="preserve">Aušros gatvės dalies nuo Gedimino ir Tauragnų gatvių sankryžos iki Žaliosios gatvės Utenoje rekonstrukcija. </v>
      </c>
      <c r="E50" s="70" t="s">
        <v>774</v>
      </c>
    </row>
    <row r="51" spans="2:21" ht="114" hidden="1" customHeight="1" x14ac:dyDescent="0.25">
      <c r="B51" s="29" t="str">
        <f>'[3]1 lentelė'!B46</f>
        <v>1.2.1.1.7</v>
      </c>
      <c r="C51" s="29" t="str">
        <f>'[3]1 lentelė'!C46</f>
        <v>R095511-120000-1207</v>
      </c>
      <c r="D51" s="29" t="str">
        <f>'[3]1 lentelė'!D46</f>
        <v>Vietinės reikšmės kelio Visagino-Parko-Sedulinos al. kvartale rekonstravimas</v>
      </c>
      <c r="E51" s="70" t="s">
        <v>1368</v>
      </c>
    </row>
    <row r="52" spans="2:21" ht="60" hidden="1" x14ac:dyDescent="0.25">
      <c r="B52" s="29" t="str">
        <f>'[3]1 lentelė'!B47</f>
        <v>1.2.1.1.8</v>
      </c>
      <c r="C52" s="29" t="str">
        <f>'[3]1 lentelė'!C47</f>
        <v>R095511-120000-1208</v>
      </c>
      <c r="D52" s="29" t="str">
        <f>'[3]1 lentelė'!D47</f>
        <v>Gyvenamosios aplinkos pasiekiamumo gerinimas Zarasų mieste rekonstruojant E. Pliaterytės gatvę</v>
      </c>
      <c r="E52" s="70" t="s">
        <v>1369</v>
      </c>
    </row>
    <row r="53" spans="2:21" ht="96" hidden="1" x14ac:dyDescent="0.25">
      <c r="B53" s="29" t="str">
        <f>'[3]1 lentelė'!B48</f>
        <v>1.2.1.1.9</v>
      </c>
      <c r="C53" s="29" t="str">
        <f>'[3]1 lentelė'!C48</f>
        <v>R095511-120000-1220</v>
      </c>
      <c r="D53" s="29" t="str">
        <f>'[3]1 lentelė'!D48</f>
        <v>Eismo sąlygų pagerinimas ir gyvenamosios aplinkos pasiekiamumo užtikrinimas, rekonstruojant Žvejų gatvę Anykščių mieste</v>
      </c>
      <c r="E53" s="70" t="s">
        <v>1370</v>
      </c>
    </row>
    <row r="54" spans="2:21" ht="30.75" hidden="1" customHeight="1" x14ac:dyDescent="0.25">
      <c r="B54" s="29" t="str">
        <f>'[3]1 lentelė'!B49</f>
        <v>1.2.1.1.10</v>
      </c>
      <c r="C54" s="29" t="str">
        <f>'[3]1 lentelė'!C49</f>
        <v>R095511-120000-1221</v>
      </c>
      <c r="D54" s="29" t="str">
        <f>'[3]1 lentelė'!D49</f>
        <v>Ignalinos miesto Ligoninės gatvės dalies rekonstrukcija</v>
      </c>
      <c r="E54" s="70" t="s">
        <v>853</v>
      </c>
    </row>
    <row r="55" spans="2:21" ht="74.25" hidden="1" customHeight="1" x14ac:dyDescent="0.25">
      <c r="B55" s="29" t="str">
        <f>'[3]1 lentelė'!B50</f>
        <v>1.2.1.1.11</v>
      </c>
      <c r="C55" s="29" t="str">
        <f>'[3]1 lentelė'!C50</f>
        <v>R095511-120000-1222</v>
      </c>
      <c r="D55" s="29" t="str">
        <f>'[3]1 lentelė'!D50</f>
        <v>Saugaus eismo priemonių diegimas Ignalinos rajono keliuose</v>
      </c>
      <c r="E55" s="70" t="s">
        <v>854</v>
      </c>
    </row>
    <row r="56" spans="2:21" ht="60" hidden="1" x14ac:dyDescent="0.25">
      <c r="B56" s="29" t="str">
        <f>'[3]1 lentelė'!B51</f>
        <v>1.2.1.1.12</v>
      </c>
      <c r="C56" s="29" t="str">
        <f>'[3]1 lentelė'!C51</f>
        <v>R095511-120000-1223</v>
      </c>
      <c r="D56" s="29" t="str">
        <f>'[3]1 lentelė'!D51</f>
        <v>Saugaus eismo priemonių diegimas Molėtų rajono  Giedraičių miestelyje</v>
      </c>
      <c r="E56" s="70" t="s">
        <v>1371</v>
      </c>
    </row>
    <row r="57" spans="2:21" s="27" customFormat="1" ht="113.25" hidden="1" customHeight="1" x14ac:dyDescent="0.25">
      <c r="B57" s="29" t="str">
        <f>'[3]1 lentelė'!B52</f>
        <v>1.2.1.1.14</v>
      </c>
      <c r="C57" s="29" t="str">
        <f>'[3]1 lentelė'!C52</f>
        <v>R095511-120000-1225</v>
      </c>
      <c r="D57" s="29" t="str">
        <f>'[3]1 lentelė'!D52</f>
        <v>Saugaus eismo priemonių diegimas Žemaitės gatvėje Zarasų mieste</v>
      </c>
      <c r="E57" s="70" t="s">
        <v>1372</v>
      </c>
    </row>
    <row r="58" spans="2:21" ht="51" hidden="1" x14ac:dyDescent="0.25">
      <c r="B58" s="20" t="str">
        <f>'[3]1 lentelė'!B53</f>
        <v xml:space="preserve">1.2.2 </v>
      </c>
      <c r="C58" s="20"/>
      <c r="D58" s="20" t="str">
        <f>'[3]1 lentelė'!D53</f>
        <v>Uždavinys: Plėtoti  aplinką tausojančią ir eismo saugą didinančią infrastruktūrą ir priemones bei darnų judumą</v>
      </c>
      <c r="E58" s="20"/>
    </row>
    <row r="59" spans="2:21" ht="25.5" hidden="1" x14ac:dyDescent="0.25">
      <c r="B59" s="21" t="str">
        <f>'[3]1 lentelė'!B54</f>
        <v>1.2.2.1</v>
      </c>
      <c r="C59" s="21"/>
      <c r="D59" s="21" t="str">
        <f>'[3]1 lentelė'!D54</f>
        <v>Priemonė: Pėsčiųjų ir dviračių takų rekonstrukcija ir plėtra</v>
      </c>
      <c r="E59" s="21"/>
    </row>
    <row r="60" spans="2:21" ht="8.25" hidden="1" customHeight="1" x14ac:dyDescent="0.25">
      <c r="B60" s="36"/>
      <c r="C60" s="36"/>
      <c r="D60" s="36"/>
      <c r="E60" s="36"/>
      <c r="U60" s="6" t="s">
        <v>763</v>
      </c>
    </row>
    <row r="61" spans="2:21" ht="156" hidden="1" x14ac:dyDescent="0.25">
      <c r="B61" s="29" t="str">
        <f>'[3]1 lentelė'!B56</f>
        <v>1.2.2.1.3</v>
      </c>
      <c r="C61" s="29" t="str">
        <f>'[3]1 lentelė'!C56</f>
        <v>R095516-190000-1210</v>
      </c>
      <c r="D61" s="29" t="str">
        <f>'[3]1 lentelė'!D56</f>
        <v>Dviračių ir pėsčiųjų takų tinklo palei Ąžuolų g. iki mokyklų komplekso plėtra didinant atskirų Molėtų miesto teritorijų tarpusavio integraciją</v>
      </c>
      <c r="E61" s="70" t="s">
        <v>776</v>
      </c>
    </row>
    <row r="62" spans="2:21" ht="132" hidden="1" x14ac:dyDescent="0.25">
      <c r="B62" s="29" t="str">
        <f>'[3]1 lentelė'!B57</f>
        <v>1.2.2.1.4</v>
      </c>
      <c r="C62" s="29" t="str">
        <f>'[3]1 lentelė'!C57</f>
        <v>R095516-190000-1211</v>
      </c>
      <c r="D62" s="29" t="str">
        <f>'[3]1 lentelė'!D57</f>
        <v>Dviračių ir pėsčiųjų takų infrastruktūros Utenos mieste plėtra, siekiant pagerinti Pramonės rajono pasiekiamumą.</v>
      </c>
      <c r="E62" s="70" t="s">
        <v>778</v>
      </c>
    </row>
    <row r="63" spans="2:21" ht="120" hidden="1" x14ac:dyDescent="0.25">
      <c r="B63" s="29" t="str">
        <f>'[3]1 lentelė'!B58</f>
        <v xml:space="preserve">1.2.2.1.5 </v>
      </c>
      <c r="C63" s="29" t="str">
        <f>'[3]1 lentelė'!C58</f>
        <v>R095516-190000-1212</v>
      </c>
      <c r="D63" s="29" t="str">
        <f>'[3]1 lentelė'!D58</f>
        <v xml:space="preserve">Pėsčiųjų ir dviračių takų plėtra Griežto ežero pakrantėje nuo Vytauto gatvės iki Griežto gatvės </v>
      </c>
      <c r="E63" s="70" t="s">
        <v>777</v>
      </c>
    </row>
    <row r="64" spans="2:21" s="27" customFormat="1" ht="60" hidden="1" x14ac:dyDescent="0.25">
      <c r="B64" s="29" t="str">
        <f>'[3]1 lentelė'!B59</f>
        <v>1.2.2.1.6</v>
      </c>
      <c r="C64" s="29" t="str">
        <f>'[3]1 lentelė'!C59</f>
        <v>R095516-190000-1213</v>
      </c>
      <c r="D64" s="29" t="str">
        <f>'[3]1 lentelė'!D59</f>
        <v xml:space="preserve">Pėsčiųjų takų tinklo plėtra Dusetose, Zarasų rajone </v>
      </c>
      <c r="E64" s="70" t="s">
        <v>1373</v>
      </c>
    </row>
    <row r="65" spans="2:21" s="27" customFormat="1" ht="66" hidden="1" customHeight="1" x14ac:dyDescent="0.25">
      <c r="B65" s="29" t="str">
        <f>'[3]1 lentelė'!B60</f>
        <v>1.2.2.1.7</v>
      </c>
      <c r="C65" s="29" t="str">
        <f>'[3]1 lentelė'!C60</f>
        <v>R095516-190000-1214</v>
      </c>
      <c r="D65" s="29" t="str">
        <f>'[3]1 lentelė'!D60</f>
        <v>Susisiekimo sąlygų gerinimas Molėtų mieste įrengiant pėsčiųjų takus tarp Ąžuolų ir Melioratorių gatvių</v>
      </c>
      <c r="E65" s="70" t="s">
        <v>1374</v>
      </c>
    </row>
    <row r="66" spans="2:21" s="27" customFormat="1" ht="80.25" hidden="1" customHeight="1" x14ac:dyDescent="0.25">
      <c r="B66" s="29" t="str">
        <f>'1 lentelė'!B67</f>
        <v>1.2.2.1.8</v>
      </c>
      <c r="C66" s="29" t="str">
        <f>'1 lentelė'!C67</f>
        <v>R095516-190000-1218</v>
      </c>
      <c r="D66" s="29" t="str">
        <f>'1 lentelė'!D67</f>
        <v>Dviračių ir pėsčiųjų tako įrengimas Ignalinos mieste sodininkų bendriją sujungiant su esamu dviračių ir pėsčiųjų taku</v>
      </c>
      <c r="E66" s="70" t="s">
        <v>1495</v>
      </c>
    </row>
    <row r="67" spans="2:21" ht="25.5" hidden="1" x14ac:dyDescent="0.25">
      <c r="B67" s="21" t="str">
        <f>'[3]1 lentelė'!B61</f>
        <v>1.2.2.2</v>
      </c>
      <c r="C67" s="21">
        <f>'[3]1 lentelė'!C61</f>
        <v>0</v>
      </c>
      <c r="D67" s="21" t="str">
        <f>'[3]1 lentelė'!D61</f>
        <v>Priemonė: Darnaus judumo priemonių diegimas</v>
      </c>
      <c r="E67" s="21"/>
    </row>
    <row r="68" spans="2:21" hidden="1" x14ac:dyDescent="0.25">
      <c r="B68" s="29"/>
      <c r="C68" s="29"/>
      <c r="D68" s="29"/>
      <c r="E68" s="69"/>
    </row>
    <row r="69" spans="2:21" ht="255.75" hidden="1" customHeight="1" x14ac:dyDescent="0.25">
      <c r="B69" s="29" t="str">
        <f>'[3]1 lentelė'!B63</f>
        <v>1.2.2.2.2</v>
      </c>
      <c r="C69" s="29" t="str">
        <f>'[3]1 lentelė'!C63</f>
        <v>R095513-500000-1214</v>
      </c>
      <c r="D69" s="29" t="str">
        <f>'[3]1 lentelė'!D63</f>
        <v xml:space="preserve">Visagino miesto darnaus judumo plano parengimas </v>
      </c>
      <c r="E69" s="70" t="s">
        <v>780</v>
      </c>
      <c r="U69" s="6" t="s">
        <v>766</v>
      </c>
    </row>
    <row r="70" spans="2:21" ht="181.5" hidden="1" customHeight="1" x14ac:dyDescent="0.25">
      <c r="B70" s="29" t="str">
        <f>'[3]1 lentelė'!B64</f>
        <v>1.2.2.2.3</v>
      </c>
      <c r="C70" s="29" t="str">
        <f>'[3]1 lentelė'!C64</f>
        <v>R095514-190000-1215</v>
      </c>
      <c r="D70" s="29" t="str">
        <f>'[3]1 lentelė'!D64</f>
        <v>Darnaus judumo infrastruktūros įrengimas Visagino mieste</v>
      </c>
      <c r="E70" s="70" t="s">
        <v>1375</v>
      </c>
      <c r="U70" s="6" t="s">
        <v>765</v>
      </c>
    </row>
    <row r="71" spans="2:21" ht="186" hidden="1" customHeight="1" x14ac:dyDescent="0.25">
      <c r="B71" s="29" t="str">
        <f>'[3]1 lentelė'!B65</f>
        <v>1.2.2.2.4</v>
      </c>
      <c r="C71" s="29" t="str">
        <f>'[3]1 lentelė'!C65</f>
        <v>R095513-500000-1216</v>
      </c>
      <c r="D71" s="29" t="str">
        <f>'[3]1 lentelė'!D65</f>
        <v>Darnaus judumo Utenos mieste plano rengimas</v>
      </c>
      <c r="E71" s="70" t="s">
        <v>779</v>
      </c>
      <c r="U71" s="6" t="s">
        <v>766</v>
      </c>
    </row>
    <row r="72" spans="2:21" ht="123.75" hidden="1" customHeight="1" x14ac:dyDescent="0.25">
      <c r="B72" s="29" t="s">
        <v>257</v>
      </c>
      <c r="C72" s="29" t="s">
        <v>1195</v>
      </c>
      <c r="D72" s="29" t="s">
        <v>1196</v>
      </c>
      <c r="E72" s="70" t="s">
        <v>1376</v>
      </c>
    </row>
    <row r="73" spans="2:21" ht="38.25" hidden="1" x14ac:dyDescent="0.25">
      <c r="B73" s="21" t="str">
        <f>'[3]1 lentelė'!B67</f>
        <v>1.2.2.3</v>
      </c>
      <c r="C73" s="21"/>
      <c r="D73" s="21" t="str">
        <f>'[3]1 lentelė'!D67</f>
        <v>Priemonė: Vietinio susisiekimo viešojo transporto priemonių parko atnaujinimas</v>
      </c>
      <c r="E73" s="21"/>
    </row>
    <row r="74" spans="2:21" hidden="1" x14ac:dyDescent="0.25">
      <c r="B74" s="29"/>
      <c r="C74" s="29"/>
      <c r="D74" s="29"/>
      <c r="E74" s="69"/>
    </row>
    <row r="75" spans="2:21" ht="96" hidden="1" x14ac:dyDescent="0.25">
      <c r="B75" s="29" t="str">
        <f>'[3]1 lentelė'!B69</f>
        <v>1.2.2.3.3</v>
      </c>
      <c r="C75" s="29" t="str">
        <f>'[3]1 lentelė'!C69</f>
        <v>R095518-100000-1219</v>
      </c>
      <c r="D75" s="29" t="str">
        <f>'[3]1 lentelė'!D69</f>
        <v>Utenos rajono vietinio susisiekimo viešojo transporto priemonių parko atnaujinimas</v>
      </c>
      <c r="E75" s="70" t="s">
        <v>855</v>
      </c>
    </row>
    <row r="76" spans="2:21" ht="15" hidden="1" x14ac:dyDescent="0.25">
      <c r="B76" s="15" t="str">
        <f>'[3]1 lentelė'!B70</f>
        <v>2.</v>
      </c>
      <c r="C76" s="15"/>
      <c r="D76" s="15" t="str">
        <f>'[3]1 lentelė'!D70</f>
        <v>Prioritetas: Integrali ekonomika</v>
      </c>
      <c r="E76" s="15"/>
    </row>
    <row r="77" spans="2:21" ht="38.25" hidden="1" x14ac:dyDescent="0.25">
      <c r="B77" s="17" t="str">
        <f>'[3]1 lentelė'!B71</f>
        <v xml:space="preserve">2.1 </v>
      </c>
      <c r="C77" s="17"/>
      <c r="D77" s="17" t="str">
        <f>'[3]1 lentelė'!D71</f>
        <v>Tikslas: Turizmo infrastruktūros, kultūros ir gamtos paveldo plėtra</v>
      </c>
      <c r="E77" s="17"/>
    </row>
    <row r="78" spans="2:21" ht="38.25" hidden="1" x14ac:dyDescent="0.25">
      <c r="B78" s="20" t="str">
        <f>'[3]1 lentelė'!B72</f>
        <v xml:space="preserve">2.1.1 </v>
      </c>
      <c r="C78" s="20"/>
      <c r="D78" s="20" t="str">
        <f>'[3]1 lentelė'!D72</f>
        <v>Uždavinys: Sutvarkyti ir aktualizuoti kultūros paveldo plėtrą</v>
      </c>
      <c r="E78" s="20"/>
    </row>
    <row r="79" spans="2:21" ht="38.25" hidden="1" x14ac:dyDescent="0.25">
      <c r="B79" s="21" t="str">
        <f>'[3]1 lentelė'!B73</f>
        <v>2.1.1.1</v>
      </c>
      <c r="C79" s="21"/>
      <c r="D79" s="21" t="str">
        <f>'[3]1 lentelė'!D73</f>
        <v>Priemonė: Aktualizuoti savivaldybių kultūros paveldo objektus</v>
      </c>
      <c r="E79" s="21"/>
    </row>
    <row r="80" spans="2:21" ht="280.5" hidden="1" customHeight="1" x14ac:dyDescent="0.25">
      <c r="B80" s="29" t="str">
        <f>'[3]1 lentelė'!B74</f>
        <v>2.1.1.1.1</v>
      </c>
      <c r="C80" s="29" t="str">
        <f>'[3]1 lentelė'!C74</f>
        <v>R093302-442942-2101</v>
      </c>
      <c r="D80" s="29" t="str">
        <f>'[3]1 lentelė'!D74</f>
        <v xml:space="preserve">Kompleksinis Okuličiūtės dvarelio Anykščiuose sutvarkymas ir pritaikymas kultūrinei, meninei veiklai </v>
      </c>
      <c r="E80" s="70" t="s">
        <v>781</v>
      </c>
    </row>
    <row r="81" spans="2:21" ht="160.5" hidden="1" customHeight="1" x14ac:dyDescent="0.25">
      <c r="B81" s="29" t="str">
        <f>'[3]1 lentelė'!B75</f>
        <v xml:space="preserve">2.1.1.1.2 </v>
      </c>
      <c r="C81" s="29" t="str">
        <f>'[3]1 lentelė'!C75</f>
        <v>R093302-440000-2102</v>
      </c>
      <c r="D81" s="29" t="str">
        <f>'[3]1 lentelė'!D75</f>
        <v xml:space="preserve">Naujų kultūros paslaugų visuomenės kultūriniams poreikiams tenkinti sukūrimas Utenos meno mokykloje </v>
      </c>
      <c r="E81" s="70" t="s">
        <v>782</v>
      </c>
    </row>
    <row r="82" spans="2:21" ht="409.5" hidden="1" x14ac:dyDescent="0.25">
      <c r="B82" s="29" t="str">
        <f>'[3]1 lentelė'!B76</f>
        <v>2.1.1.1.3</v>
      </c>
      <c r="C82" s="29" t="str">
        <f>'[3]1 lentelė'!C76</f>
        <v>R093302-440000-2103</v>
      </c>
      <c r="D82" s="29" t="str">
        <f>'[3]1 lentelė'!D76</f>
        <v>Atgailos kanauninkų vienuolyno ansamblio (u.k. 987) vienuolyno namo (u.k. 25029) Videniškių km. kapitalinis remontas ir pritaikymas Videniškių vienuolyno amatų centro ir bendruomenės poreikiams poreikiams</v>
      </c>
      <c r="E82" s="70" t="s">
        <v>1496</v>
      </c>
    </row>
    <row r="83" spans="2:21" ht="228" hidden="1" x14ac:dyDescent="0.25">
      <c r="B83" s="29" t="str">
        <f>'[3]1 lentelė'!B77</f>
        <v>2.1.1.1.4</v>
      </c>
      <c r="C83" s="29" t="str">
        <f>'[3]1 lentelė'!C77</f>
        <v>R093302-442942-2104</v>
      </c>
      <c r="D83" s="29" t="str">
        <f>'[3]1 lentelė'!D77</f>
        <v>Valstybės saugomo kultūros paveldo objekto – Antazavės dvaro aktualizavimas</v>
      </c>
      <c r="E83" s="70" t="s">
        <v>783</v>
      </c>
    </row>
    <row r="84" spans="2:21" ht="25.5" hidden="1" x14ac:dyDescent="0.25">
      <c r="B84" s="20" t="str">
        <f>'[3]1 lentelė'!B78</f>
        <v>2.1.2</v>
      </c>
      <c r="C84" s="20">
        <f>'[3]1 lentelė'!C78</f>
        <v>0</v>
      </c>
      <c r="D84" s="20" t="str">
        <f>'[3]1 lentelė'!D78</f>
        <v>Uždavinys: Plėtoti turizmo išteklių ir paslaugų rinkodarą</v>
      </c>
      <c r="E84" s="20"/>
    </row>
    <row r="85" spans="2:21" ht="51" x14ac:dyDescent="0.25">
      <c r="B85" s="21" t="str">
        <f>'[3]1 lentelė'!B79</f>
        <v>2.1.2.1</v>
      </c>
      <c r="C85" s="21"/>
      <c r="D85" s="21" t="str">
        <f>'[3]1 lentelė'!D79</f>
        <v>Priemonė: Savivaldybes jungiančių turizmo trasų ir turizmo maršrutų informacinės infrastruktūros plėtra</v>
      </c>
      <c r="E85" s="21"/>
    </row>
    <row r="86" spans="2:21" ht="123.75" customHeight="1" x14ac:dyDescent="0.25">
      <c r="B86" s="29" t="str">
        <f>'[3]1 lentelė'!B81</f>
        <v xml:space="preserve">2.1.2.1.2 </v>
      </c>
      <c r="C86" s="29" t="str">
        <f>'[3]1 lentelė'!C81</f>
        <v>R098821-420000-2106</v>
      </c>
      <c r="D86" s="29" t="str">
        <f>'[3]1 lentelė'!D81</f>
        <v>Informacinės infrastruktūros plėtra Ignalinos, Molėtų ir Utenos rajonuose</v>
      </c>
      <c r="E86" s="70" t="s">
        <v>784</v>
      </c>
      <c r="U86" s="6" t="s">
        <v>765</v>
      </c>
    </row>
    <row r="87" spans="2:21" s="27" customFormat="1" ht="55.5" customHeight="1" x14ac:dyDescent="0.25">
      <c r="B87" s="29" t="str">
        <f>'[3]1 lentelė'!B82</f>
        <v>2.1.2.1.3</v>
      </c>
      <c r="C87" s="29" t="str">
        <f>'[3]1 lentelė'!C82</f>
        <v>R098821-420000-2107</v>
      </c>
      <c r="D87" s="29" t="str">
        <f>'[3]1 lentelė'!D82</f>
        <v>Taktiliniai maketai turistui po atviru dangumi</v>
      </c>
      <c r="E87" s="70" t="s">
        <v>1377</v>
      </c>
    </row>
    <row r="88" spans="2:21" ht="114.75" customHeight="1" x14ac:dyDescent="0.25">
      <c r="B88" s="29" t="s">
        <v>1202</v>
      </c>
      <c r="C88" s="29" t="s">
        <v>1203</v>
      </c>
      <c r="D88" s="29" t="s">
        <v>1204</v>
      </c>
      <c r="E88" s="70" t="s">
        <v>1378</v>
      </c>
    </row>
    <row r="89" spans="2:21" ht="25.5" hidden="1" x14ac:dyDescent="0.25">
      <c r="B89" s="17" t="str">
        <f>'[3]1 lentelė'!B84</f>
        <v>2.2</v>
      </c>
      <c r="C89" s="17"/>
      <c r="D89" s="17" t="str">
        <f>'[3]1 lentelė'!D84</f>
        <v>Tikslas; darnaus išteklių naudojimo skatinimas</v>
      </c>
      <c r="E89" s="17"/>
    </row>
    <row r="90" spans="2:21" ht="51" hidden="1" x14ac:dyDescent="0.25">
      <c r="B90" s="20" t="str">
        <f>'[3]1 lentelė'!B85</f>
        <v>2.2.1</v>
      </c>
      <c r="C90" s="20"/>
      <c r="D90" s="20" t="str">
        <f>'[3]1 lentelė'!D85</f>
        <v>Uždavinys: Plėtoti tvarią šilumos energijos, vandens tiekimo, nuotekų šalinimo ir atliekų tvarkymo sistemą</v>
      </c>
      <c r="E90" s="20"/>
    </row>
    <row r="91" spans="2:21" ht="51" hidden="1" x14ac:dyDescent="0.25">
      <c r="B91" s="21" t="str">
        <f>'[3]1 lentelė'!B86</f>
        <v>2.2.1.1</v>
      </c>
      <c r="C91" s="21"/>
      <c r="D91" s="21" t="str">
        <f>'[3]1 lentelė'!D86</f>
        <v>Priemonė: Geriamojo vandens tiekimo ir nuotekų tvarkymo sistemų renovavimas ir plėtra, įmonių valdymo tobulinimas</v>
      </c>
      <c r="E91" s="21"/>
    </row>
    <row r="92" spans="2:21" ht="255.75" hidden="1" customHeight="1" x14ac:dyDescent="0.25">
      <c r="B92" s="29" t="str">
        <f>'[3]1 lentelė'!B87</f>
        <v>2.2.1.1.1</v>
      </c>
      <c r="C92" s="29" t="str">
        <f>'[3]1 lentelė'!C87</f>
        <v>R090014-060700-2201</v>
      </c>
      <c r="D92" s="29" t="str">
        <f>'[3]1 lentelė'!D87</f>
        <v xml:space="preserve">Vandens tiekimo ir nuotekų tvarkymo infrastruktūros plėtra Ignalinos rajone </v>
      </c>
      <c r="E92" s="70" t="s">
        <v>785</v>
      </c>
    </row>
    <row r="93" spans="2:21" ht="228" hidden="1" x14ac:dyDescent="0.25">
      <c r="B93" s="29" t="str">
        <f>'[3]1 lentelė'!B88</f>
        <v>2.2.1.1.2</v>
      </c>
      <c r="C93" s="29" t="str">
        <f>'[3]1 lentelė'!C88</f>
        <v>R090014-070000-2202</v>
      </c>
      <c r="D93" s="29" t="str">
        <f>'[3]1 lentelė'!D88</f>
        <v xml:space="preserve">Vandens tiekimo ir nuotekų tvarkymo infrastruktūros plėtra ir rekonstravimas Zarasų rajono savivaldybėje </v>
      </c>
      <c r="E93" s="70" t="s">
        <v>786</v>
      </c>
    </row>
    <row r="94" spans="2:21" ht="217.5" hidden="1" customHeight="1" x14ac:dyDescent="0.25">
      <c r="B94" s="29" t="str">
        <f>'[3]1 lentelė'!B89</f>
        <v>2.2.1.1.3</v>
      </c>
      <c r="C94" s="29" t="str">
        <f>'[3]1 lentelė'!C89</f>
        <v>R090014-060000-2203</v>
      </c>
      <c r="D94" s="29" t="str">
        <f>'[3]1 lentelė'!D89</f>
        <v xml:space="preserve">Vandens tiekimo ir nuotekų tinklų rekonstravimas Visagine </v>
      </c>
      <c r="E94" s="70" t="s">
        <v>789</v>
      </c>
      <c r="U94" s="6" t="s">
        <v>766</v>
      </c>
    </row>
    <row r="95" spans="2:21" ht="255.75" hidden="1" customHeight="1" x14ac:dyDescent="0.25">
      <c r="B95" s="29" t="str">
        <f>'[3]1 lentelė'!B90</f>
        <v>2.2.1.1.4</v>
      </c>
      <c r="C95" s="29" t="str">
        <f>'[3]1 lentelė'!C90</f>
        <v>R090014-070600-2204</v>
      </c>
      <c r="D95" s="29" t="str">
        <f>'[3]1 lentelė'!D90</f>
        <v>Vandens tiekimo ir nuotekų tvarkymo infrastruktūros plėtra ir rekonstrukcija Anykščių r. sav. Kurklių miestelyje</v>
      </c>
      <c r="E95" s="70" t="s">
        <v>788</v>
      </c>
    </row>
    <row r="96" spans="2:21" ht="240.75" hidden="1" customHeight="1" x14ac:dyDescent="0.25">
      <c r="B96" s="29" t="str">
        <f>'[3]1 lentelė'!B91</f>
        <v>2.2.1.1.5</v>
      </c>
      <c r="C96" s="29" t="str">
        <f>'[3]1 lentelė'!C91</f>
        <v>R090014-070600-2205</v>
      </c>
      <c r="D96" s="29" t="str">
        <f>'[3]1 lentelė'!D91</f>
        <v xml:space="preserve"> Vandens tiekimo ir nuotekų tvarkymo infrastruktūros plėtra ir rekonstrukcija Molėtų rajone </v>
      </c>
      <c r="E96" s="70" t="s">
        <v>787</v>
      </c>
    </row>
    <row r="97" spans="2:21" ht="336" hidden="1" x14ac:dyDescent="0.25">
      <c r="B97" s="29" t="str">
        <f>'[3]1 lentelė'!B92</f>
        <v>2.2.1.1.6</v>
      </c>
      <c r="C97" s="29" t="str">
        <f>'[3]1 lentelė'!C92</f>
        <v>R090014-075000-2206</v>
      </c>
      <c r="D97" s="29" t="str">
        <f>'[3]1 lentelė'!D92</f>
        <v>Vandens tiekimo ir nuotekų tvarkymo infrastruktūros plėtra Utenos rajone (Jasonių k.)</v>
      </c>
      <c r="E97" s="70" t="s">
        <v>790</v>
      </c>
    </row>
    <row r="98" spans="2:21" ht="147" hidden="1" customHeight="1" x14ac:dyDescent="0.25">
      <c r="B98" s="29" t="str">
        <f>'[3]1 lentelė'!B93</f>
        <v>2.2.1.1.7</v>
      </c>
      <c r="C98" s="29" t="str">
        <f>'[3]1 lentelė'!C93</f>
        <v>R090014-060000-2225</v>
      </c>
      <c r="D98" s="29" t="str">
        <f>'[3]1 lentelė'!D93</f>
        <v>Vandens tiekimo ir nuotekų tvarkymo infrastruktūros rekonstrukcija ir inventorizacija Ignalinos rajone</v>
      </c>
      <c r="E98" s="70" t="s">
        <v>794</v>
      </c>
      <c r="U98" s="6" t="s">
        <v>765</v>
      </c>
    </row>
    <row r="99" spans="2:21" ht="121.5" hidden="1" customHeight="1" x14ac:dyDescent="0.25">
      <c r="B99" s="29" t="str">
        <f>'[3]1 lentelė'!B94</f>
        <v>2.2.1.1.8</v>
      </c>
      <c r="C99" s="29" t="str">
        <f>'[3]1 lentelė'!C94</f>
        <v>R090014-075000-2226</v>
      </c>
      <c r="D99" s="29" t="str">
        <f>'[3]1 lentelė'!D94</f>
        <v>Vandens tiekimo ir nuotekų tvarkymo infrastruktūros plėtra Utenos rajone (Jasonių k. II etapas)</v>
      </c>
      <c r="E99" s="70" t="s">
        <v>1077</v>
      </c>
      <c r="U99" s="6" t="s">
        <v>765</v>
      </c>
    </row>
    <row r="100" spans="2:21" ht="279" hidden="1" customHeight="1" x14ac:dyDescent="0.25">
      <c r="B100" s="29" t="str">
        <f>'[3]1 lentelė'!B95</f>
        <v>2.2.1.1.9</v>
      </c>
      <c r="C100" s="29" t="str">
        <f>'[3]1 lentelė'!C95</f>
        <v>R090014-070000-2227</v>
      </c>
      <c r="D100" s="29" t="str">
        <f>'[3]1 lentelė'!D95</f>
        <v>Vandentiekio ir nuotekų tinklų Anykščių aglomeracijoje (sodų bendrija ,,Šaltupys" ir Keblonių k.) statybos darbai.</v>
      </c>
      <c r="E100" s="70" t="s">
        <v>791</v>
      </c>
    </row>
    <row r="101" spans="2:21" ht="270" hidden="1" customHeight="1" x14ac:dyDescent="0.25">
      <c r="B101" s="29" t="str">
        <f>'[3]1 lentelė'!B96</f>
        <v>2.2.1.1.10</v>
      </c>
      <c r="C101" s="29" t="str">
        <f>'[3]1 lentelė'!C96</f>
        <v>R090014-070600-2228</v>
      </c>
      <c r="D101" s="29" t="str">
        <f>'[3]1 lentelė'!D96</f>
        <v>Vandens tiekimo ir nuotekų tvarkymo infrastruktūros plėtra ir rekonstravimas Zarasų rajono savivaldybėje (II etapas)</v>
      </c>
      <c r="E101" s="70" t="s">
        <v>793</v>
      </c>
    </row>
    <row r="102" spans="2:21" ht="124.5" hidden="1" customHeight="1" x14ac:dyDescent="0.25">
      <c r="B102" s="29" t="str">
        <f>'[3]1 lentelė'!B97</f>
        <v>2.2.1.1.11</v>
      </c>
      <c r="C102" s="29" t="str">
        <f>'[3]1 lentelė'!C97</f>
        <v>R090014-070600-2229</v>
      </c>
      <c r="D102" s="29" t="str">
        <f>'[3]1 lentelė'!D97</f>
        <v>Vandens tiekimo ir nuotekų tvarkymo infrastruktūros plėtra ir rekonstrukcija Molėtų rajone (II etapas)</v>
      </c>
      <c r="E102" s="70" t="s">
        <v>792</v>
      </c>
    </row>
    <row r="103" spans="2:21" ht="25.5" hidden="1" x14ac:dyDescent="0.25">
      <c r="B103" s="44" t="str">
        <f>'[3]1 lentelė'!B98</f>
        <v>2.2.1.2</v>
      </c>
      <c r="C103" s="44">
        <f>'[3]1 lentelė'!C98</f>
        <v>0</v>
      </c>
      <c r="D103" s="44" t="str">
        <f>'[3]1 lentelė'!D98</f>
        <v>Priemonė: Paviršinių nuotekų sistemų tvarkymas</v>
      </c>
      <c r="E103" s="44"/>
    </row>
    <row r="104" spans="2:21" ht="315" hidden="1" customHeight="1" x14ac:dyDescent="0.25">
      <c r="B104" s="29" t="str">
        <f>'[3]1 lentelė'!B99</f>
        <v>2.2.1.2.1</v>
      </c>
      <c r="C104" s="29" t="str">
        <f>'[3]1 lentelė'!C99</f>
        <v>R090007-080000-2207</v>
      </c>
      <c r="D104" s="29" t="str">
        <f>'[3]1 lentelė'!D99</f>
        <v>Paviršinių nuotekų tinklų ir jiems priklausančios infrastruktūros rekonstrukcija ir plėtra Utenos mieste</v>
      </c>
      <c r="E104" s="70" t="s">
        <v>795</v>
      </c>
    </row>
    <row r="105" spans="2:21" ht="266.25" hidden="1" customHeight="1" x14ac:dyDescent="0.25">
      <c r="B105" s="29" t="str">
        <f>'[3]1 lentelė'!B100</f>
        <v>2.2.1.2.2</v>
      </c>
      <c r="C105" s="29" t="str">
        <f>'[3]1 lentelė'!C100</f>
        <v>R090007-080000-2208</v>
      </c>
      <c r="D105" s="29" t="str">
        <f>'[3]1 lentelė'!D100</f>
        <v>Inžinerinių paviršinių nuotekų surinkimo ir šalinimo tinklų rekonstravimas Visagino g. atkarpoje nuo Parko iki Vilties g.</v>
      </c>
      <c r="E105" s="70" t="s">
        <v>796</v>
      </c>
    </row>
    <row r="106" spans="2:21" ht="25.5" hidden="1" x14ac:dyDescent="0.25">
      <c r="B106" s="44" t="str">
        <f>'[3]1 lentelė'!B101</f>
        <v>2.2.1.3</v>
      </c>
      <c r="C106" s="44">
        <f>'[3]1 lentelė'!C101</f>
        <v>0</v>
      </c>
      <c r="D106" s="44" t="str">
        <f>'[3]1 lentelė'!D101</f>
        <v>Priemonė: Komunalinių atliekų tvarkymo infrastruktūros plėtra</v>
      </c>
      <c r="E106" s="44"/>
    </row>
    <row r="107" spans="2:21" ht="303" hidden="1" customHeight="1" x14ac:dyDescent="0.25">
      <c r="B107" s="29" t="str">
        <f>'[3]1 lentelė'!B102</f>
        <v>2.2.1.3.1</v>
      </c>
      <c r="C107" s="29" t="str">
        <f>'[3]1 lentelė'!C102</f>
        <v>R090008-050000-2209</v>
      </c>
      <c r="D107" s="29" t="str">
        <f>'[3]1 lentelė'!D102</f>
        <v>Komunalinių atliekų tvarkymo infrastruktūros plėtra Visagino savivaldybėje</v>
      </c>
      <c r="E107" s="70" t="s">
        <v>797</v>
      </c>
    </row>
    <row r="108" spans="2:21" ht="87.75" hidden="1" customHeight="1" x14ac:dyDescent="0.25">
      <c r="B108" s="29" t="str">
        <f>'[3]1 lentelė'!B103</f>
        <v>2.2.1.3.2</v>
      </c>
      <c r="C108" s="29" t="str">
        <f>'[3]1 lentelė'!C103</f>
        <v>R090008-050000-2210</v>
      </c>
      <c r="D108" s="29" t="str">
        <f>'[3]1 lentelė'!D103</f>
        <v>Konteinerinių aikštelių įrengimas ( rekonstrukcija) Ignalinos r. savivaldybėje ir atliekų surinkimo konteinerių konteinerinėms aikštelėms įsigijimas</v>
      </c>
      <c r="E108" s="70" t="s">
        <v>799</v>
      </c>
    </row>
    <row r="109" spans="2:21" ht="336" hidden="1" customHeight="1" x14ac:dyDescent="0.25">
      <c r="B109" s="29" t="str">
        <f>'[3]1 lentelė'!B104</f>
        <v>2.2.1.3.3</v>
      </c>
      <c r="C109" s="29" t="str">
        <f>'[3]1 lentelė'!C104</f>
        <v>R090008-050000-2211</v>
      </c>
      <c r="D109" s="29" t="str">
        <f>'[3]1 lentelė'!D104</f>
        <v>Komunalinių atliekų tvarkymo infrastruktūros plėtra Anykščių rajono savivaldybėje</v>
      </c>
      <c r="E109" s="70" t="s">
        <v>798</v>
      </c>
    </row>
    <row r="110" spans="2:21" ht="204" hidden="1" x14ac:dyDescent="0.25">
      <c r="B110" s="29" t="str">
        <f>'[3]1 lentelė'!B105</f>
        <v>2.2.1.3.4</v>
      </c>
      <c r="C110" s="29" t="str">
        <f>'[3]1 lentelė'!C105</f>
        <v>R090008-050000-2212</v>
      </c>
      <c r="D110" s="29" t="str">
        <f>'[3]1 lentelė'!D105</f>
        <v>Molėtų rajono komunalinių atliekų tvarkymo infrastruktūros plėtra</v>
      </c>
      <c r="E110" s="70" t="s">
        <v>802</v>
      </c>
    </row>
    <row r="111" spans="2:21" ht="210" hidden="1" customHeight="1" x14ac:dyDescent="0.25">
      <c r="B111" s="29" t="str">
        <f>'[3]1 lentelė'!B106</f>
        <v>2.2.1.3.5</v>
      </c>
      <c r="C111" s="29" t="str">
        <f>'[3]1 lentelė'!C106</f>
        <v>R090008-050000-2213</v>
      </c>
      <c r="D111" s="29" t="str">
        <f>'[3]1 lentelė'!D106</f>
        <v>Komunalinių atliekų tvarkymo infrastruktūros plėtra Zarasų rajone</v>
      </c>
      <c r="E111" s="70" t="s">
        <v>800</v>
      </c>
    </row>
    <row r="112" spans="2:21" ht="216" hidden="1" x14ac:dyDescent="0.25">
      <c r="B112" s="29" t="str">
        <f>'[3]1 lentelė'!B107</f>
        <v>2.2.1.3.6</v>
      </c>
      <c r="C112" s="29" t="str">
        <f>'[3]1 lentelė'!C107</f>
        <v>R090008-050000-2214</v>
      </c>
      <c r="D112" s="29" t="str">
        <f>'[3]1 lentelė'!D107</f>
        <v>Komunalinių atliekų tvarkymo infrastruktūros plėtra Utenos rajone</v>
      </c>
      <c r="E112" s="70" t="s">
        <v>801</v>
      </c>
    </row>
    <row r="113" spans="2:21" ht="41.25" hidden="1" customHeight="1" x14ac:dyDescent="0.25">
      <c r="B113" s="20" t="str">
        <f>'[3]1 lentelė'!B108</f>
        <v>2.2.2.</v>
      </c>
      <c r="C113" s="20"/>
      <c r="D113" s="20" t="str">
        <f>'[3]1 lentelė'!D108</f>
        <v>Uždavinys: Gerinti regiono kraštovaizdžio tvarkymo ir apsaugos efektyvumą</v>
      </c>
      <c r="E113" s="20"/>
    </row>
    <row r="114" spans="2:21" ht="15" hidden="1" x14ac:dyDescent="0.25">
      <c r="B114" s="44" t="str">
        <f>'[3]1 lentelė'!B109</f>
        <v>2.2.2.1</v>
      </c>
      <c r="C114" s="44"/>
      <c r="D114" s="44" t="str">
        <f>'[3]1 lentelė'!D109</f>
        <v>Priemonė: Kraštovaizdžio apsauga</v>
      </c>
      <c r="E114" s="44"/>
    </row>
    <row r="115" spans="2:21" ht="161.25" hidden="1" customHeight="1" x14ac:dyDescent="0.25">
      <c r="B115" s="29" t="str">
        <f>'[3]1 lentelė'!B110</f>
        <v>2.2.2.1.1</v>
      </c>
      <c r="C115" s="29" t="str">
        <f>'[3]1 lentelė'!C110</f>
        <v>R090019-380000-2215</v>
      </c>
      <c r="D115" s="29" t="str">
        <f>'[3]1 lentelė'!D110</f>
        <v>Zarasų rajono savivaldybės bendrųjų planų koregavimas</v>
      </c>
      <c r="E115" s="70" t="s">
        <v>1508</v>
      </c>
    </row>
    <row r="116" spans="2:21" ht="142.5" hidden="1" customHeight="1" x14ac:dyDescent="0.25">
      <c r="B116" s="29" t="str">
        <f>'[3]1 lentelė'!B111</f>
        <v>2.2.2.1.2</v>
      </c>
      <c r="C116" s="29" t="str">
        <f>'[3]1 lentelė'!C111</f>
        <v>R090019-380000-2216</v>
      </c>
      <c r="D116" s="29" t="str">
        <f>'[3]1 lentelė'!D111</f>
        <v>Bešeimininkių apleistų, kraštovaizdį darkančių statinių likvidavimas Molėtų rajono savivaldybėje</v>
      </c>
      <c r="E116" s="70" t="s">
        <v>1379</v>
      </c>
    </row>
    <row r="117" spans="2:21" ht="288" hidden="1" x14ac:dyDescent="0.25">
      <c r="B117" s="29" t="str">
        <f>'[3]1 lentelė'!B112</f>
        <v>2.2.2.1.3</v>
      </c>
      <c r="C117" s="29" t="str">
        <f>'[3]1 lentelė'!C112</f>
        <v>R090019-380000-2217</v>
      </c>
      <c r="D117" s="29" t="str">
        <f>'[3]1 lentelė'!D112</f>
        <v>Kraštovaizdžio formavimas ir ekologinės būklės gerinimas Zarasų rajone</v>
      </c>
      <c r="E117" s="70" t="s">
        <v>804</v>
      </c>
    </row>
    <row r="118" spans="2:21" ht="341.25" hidden="1" customHeight="1" x14ac:dyDescent="0.25">
      <c r="B118" s="29" t="str">
        <f>'[3]1 lentelė'!B113</f>
        <v>2.2.2.1.4</v>
      </c>
      <c r="C118" s="29" t="str">
        <f>'[3]1 lentelė'!C113</f>
        <v>R090019-380000-2218</v>
      </c>
      <c r="D118" s="29" t="str">
        <f>'[3]1 lentelė'!D113</f>
        <v>Želdynų teritorijos formavimas ir kraštovaizdžio būklės gerinimas Utenos mieste</v>
      </c>
      <c r="E118" s="70" t="s">
        <v>1380</v>
      </c>
    </row>
    <row r="119" spans="2:21" ht="204" hidden="1" x14ac:dyDescent="0.25">
      <c r="B119" s="29" t="str">
        <f>'[3]1 lentelė'!B114</f>
        <v>2.2.2.1.5</v>
      </c>
      <c r="C119" s="29" t="str">
        <f>'[3]1 lentelė'!C114</f>
        <v>R090019-380000-2219</v>
      </c>
      <c r="D119" s="29" t="str">
        <f>'[3]1 lentelė'!D114</f>
        <v>,,Anykščių rajono kraštovaizdžio estetinio potencialo didinimas likviduojant bešeimininkius  kraštovaizdį darkančius statinius“</v>
      </c>
      <c r="E119" s="70" t="s">
        <v>803</v>
      </c>
      <c r="U119" s="6" t="s">
        <v>766</v>
      </c>
    </row>
    <row r="120" spans="2:21" ht="193.5" hidden="1" customHeight="1" x14ac:dyDescent="0.25">
      <c r="B120" s="29" t="str">
        <f>'[3]1 lentelė'!B115</f>
        <v>2.2.2.1.6</v>
      </c>
      <c r="C120" s="29" t="str">
        <f>'[3]1 lentelė'!C115</f>
        <v>R090019-380000-2220</v>
      </c>
      <c r="D120" s="29" t="str">
        <f>'[3]1 lentelė'!D115</f>
        <v>Kraštovaizdžio formavimas ir ekologinės būklės gerinimas Anykščių rajono savivaldybėje</v>
      </c>
      <c r="E120" s="70" t="s">
        <v>805</v>
      </c>
    </row>
    <row r="121" spans="2:21" ht="132" hidden="1" x14ac:dyDescent="0.25">
      <c r="B121" s="29" t="str">
        <f>'[3]1 lentelė'!B116</f>
        <v>2.2.2.1.7</v>
      </c>
      <c r="C121" s="29" t="str">
        <f>'[3]1 lentelė'!C116</f>
        <v>R090019-380000-2221</v>
      </c>
      <c r="D121" s="29" t="str">
        <f>'[3]1 lentelė'!D116</f>
        <v>Visagino miesto kraštovaizdžio formavimas, ekologinės būklės gerinimas ir želdynų tvarkymas (kūrimas) gamtinio karkaso teritorijose</v>
      </c>
      <c r="E121" s="70" t="s">
        <v>806</v>
      </c>
      <c r="U121" s="6" t="s">
        <v>765</v>
      </c>
    </row>
    <row r="122" spans="2:21" ht="269.25" hidden="1" customHeight="1" x14ac:dyDescent="0.25">
      <c r="B122" s="29" t="str">
        <f>'[3]1 lentelė'!B117</f>
        <v>2.2.2.1.8</v>
      </c>
      <c r="C122" s="29" t="str">
        <f>'[3]1 lentelė'!C117</f>
        <v>R090019-380000-2222</v>
      </c>
      <c r="D122" s="29" t="str">
        <f>'[3]1 lentelė'!D117</f>
        <v>Utenos rajono kraštovaizdžio estetinio potencialo didinimas likviduojant bešeimininkius apleistus, kraštovaizdį darkančius statinius</v>
      </c>
      <c r="E122" s="334" t="s">
        <v>1498</v>
      </c>
    </row>
    <row r="123" spans="2:21" ht="282.75" hidden="1" customHeight="1" x14ac:dyDescent="0.25">
      <c r="B123" s="29" t="str">
        <f>'[3]1 lentelė'!B118</f>
        <v>2.2.2.1.9</v>
      </c>
      <c r="C123" s="29" t="str">
        <f>'[3]1 lentelė'!C118</f>
        <v>R090019-380000-2223</v>
      </c>
      <c r="D123" s="29" t="str">
        <f>'[3]1 lentelė'!D118</f>
        <v xml:space="preserve">Kraštovaizdžio planavimas, tvarkymas ir būklės gerinimas Molėtų rajone </v>
      </c>
      <c r="E123" s="334" t="s">
        <v>1524</v>
      </c>
    </row>
    <row r="124" spans="2:21" ht="60" hidden="1" x14ac:dyDescent="0.25">
      <c r="B124" s="29" t="str">
        <f>'[3]1 lentelė'!B119</f>
        <v>2.2.2.1.10</v>
      </c>
      <c r="C124" s="29" t="str">
        <f>'[3]1 lentelė'!C119</f>
        <v>R090019-380000-2224</v>
      </c>
      <c r="D124" s="29" t="str">
        <f>'[3]1 lentelė'!D119</f>
        <v>Kraštovaizdžio formavimas, pažeistų žemių tvarkymas Ignalinos rajone ir bendrųjų planų tikslinimas</v>
      </c>
      <c r="E124" s="70" t="s">
        <v>856</v>
      </c>
    </row>
    <row r="125" spans="2:21" ht="218.25" hidden="1" customHeight="1" x14ac:dyDescent="0.25">
      <c r="B125" s="29" t="str">
        <f>'[3]1 lentelė'!B120</f>
        <v>2.2.2.1.11</v>
      </c>
      <c r="C125" s="29" t="str">
        <f>'[3]1 lentelė'!C120</f>
        <v>R090019-380000-2225</v>
      </c>
      <c r="D125" s="29" t="str">
        <f>'[3]1 lentelė'!D120</f>
        <v>Bešeimininkių apleistų statinių likvidavimas Molėtų rajono savivaldybėje</v>
      </c>
      <c r="E125" s="70" t="s">
        <v>1530</v>
      </c>
    </row>
    <row r="126" spans="2:21" ht="199.5" hidden="1" customHeight="1" x14ac:dyDescent="0.25">
      <c r="B126" s="29" t="str">
        <f>'[3]1 lentelė'!B121</f>
        <v>2.2.2.1.12</v>
      </c>
      <c r="C126" s="29" t="str">
        <f>'[3]1 lentelė'!C121</f>
        <v>R090019-380000-2226</v>
      </c>
      <c r="D126" s="29" t="str">
        <f>'[3]1 lentelė'!D121</f>
        <v>Bešeimininkių apleistų pastatų likvidavimas Zarasų rajone</v>
      </c>
      <c r="E126" s="70" t="s">
        <v>1472</v>
      </c>
    </row>
    <row r="127" spans="2:21" ht="38.25" hidden="1" x14ac:dyDescent="0.25">
      <c r="B127" s="351" t="str">
        <f>'[3]1 lentelė'!B122</f>
        <v xml:space="preserve">2.3 </v>
      </c>
      <c r="C127" s="351">
        <f>'[3]1 lentelė'!C122</f>
        <v>0</v>
      </c>
      <c r="D127" s="351" t="str">
        <f>'[3]1 lentelė'!D122</f>
        <v>Tikslas: Verslo ir investicijų skatinimas bei pramonės potencialo skatinimas</v>
      </c>
      <c r="E127" s="351"/>
    </row>
    <row r="128" spans="2:21" ht="38.25" hidden="1" x14ac:dyDescent="0.25">
      <c r="B128" s="352" t="str">
        <f>'[3]1 lentelė'!B123</f>
        <v>2.3.1</v>
      </c>
      <c r="C128" s="352">
        <f>'[3]1 lentelė'!C123</f>
        <v>0</v>
      </c>
      <c r="D128" s="352" t="str">
        <f>'[3]1 lentelė'!D123</f>
        <v>Uždavinys: Sukurti infrastruktūrą ir palankią aplinką vidaus ir užsienio investuotojams</v>
      </c>
      <c r="E128" s="352"/>
    </row>
    <row r="129" spans="1:5" ht="89.25" hidden="1" x14ac:dyDescent="0.25">
      <c r="B129" s="21" t="str">
        <f>'[3]1 lentelė'!B124</f>
        <v>2.3.1.1</v>
      </c>
      <c r="C129" s="21">
        <f>'[3]1 lentelė'!C124</f>
        <v>0</v>
      </c>
      <c r="D129" s="21" t="str">
        <f>'[3]1 lentelė'!D124</f>
        <v>Priemonė: Sukurti ir (arba) išplėtoti pramoninių parkų infrastruktūrą ir taip sudaryti sąlygas pritraukti tiesioginių užsienio investicijų sumanios specializacijos srityse (valstybinė SMART PARK LT)</v>
      </c>
      <c r="E129" s="21"/>
    </row>
    <row r="130" spans="1:5" ht="96" hidden="1" x14ac:dyDescent="0.25">
      <c r="B130" s="29" t="str">
        <f>'[3]1 lentelė'!B125</f>
        <v>2.3.1.1.1</v>
      </c>
      <c r="C130" s="29" t="str">
        <f>'[3]1 lentelė'!C125</f>
        <v>R098830-360000-2301</v>
      </c>
      <c r="D130" s="29" t="str">
        <f>'[3]1 lentelė'!D125</f>
        <v>Investicijos į Visagine kuriamo pramoninio parko (SMART PARK) inžinerinius tinklus ir susisiekimo komunikacijas bei pramoninio parko rinkodarą</v>
      </c>
      <c r="E130" s="70" t="s">
        <v>858</v>
      </c>
    </row>
    <row r="131" spans="1:5" ht="25.5" hidden="1" x14ac:dyDescent="0.25">
      <c r="A131" s="20"/>
      <c r="B131" s="20" t="str">
        <f>'[3]1 lentelė'!B126</f>
        <v>2.3.2</v>
      </c>
      <c r="C131" s="20"/>
      <c r="D131" s="20" t="str">
        <f>'[3]1 lentelė'!D126</f>
        <v>Uždavinys: Skatinti bendruomeninį-socialinį verslą</v>
      </c>
      <c r="E131" s="20"/>
    </row>
    <row r="132" spans="1:5" ht="25.5" hidden="1" x14ac:dyDescent="0.25">
      <c r="A132" s="29"/>
      <c r="B132" s="21" t="str">
        <f>'[3]1 lentelė'!B127</f>
        <v>2.3.2.1</v>
      </c>
      <c r="C132" s="21"/>
      <c r="D132" s="21" t="str">
        <f>'[3]1 lentelė'!D127</f>
        <v>Priemonė: konkursinė, VVG strategijų įgyvendinimas</v>
      </c>
      <c r="E132" s="21"/>
    </row>
    <row r="133" spans="1:5" ht="51" hidden="1" x14ac:dyDescent="0.25">
      <c r="A133" s="262"/>
      <c r="B133" s="20" t="str">
        <f>'[3]1 lentelė'!B128</f>
        <v>2.3.3</v>
      </c>
      <c r="C133" s="20"/>
      <c r="D133" s="20" t="str">
        <f>'[3]1 lentelė'!D128</f>
        <v>Uždavinys:  Didinti regiono konkurencingumą skatinant tarpregioninį bendradarbiavimą ir partnerystę</v>
      </c>
      <c r="E133" s="20"/>
    </row>
    <row r="134" spans="1:5" ht="25.5" hidden="1" x14ac:dyDescent="0.25">
      <c r="A134" s="29"/>
      <c r="B134" s="21" t="str">
        <f>'[3]1 lentelė'!B129</f>
        <v>2.3.3.1</v>
      </c>
      <c r="C134" s="21"/>
      <c r="D134" s="21" t="str">
        <f>'[3]1 lentelė'!D129</f>
        <v>Priemonė: Skatinti užimtumą regione</v>
      </c>
      <c r="E134" s="21"/>
    </row>
    <row r="135" spans="1:5" ht="84" hidden="1" x14ac:dyDescent="0.25">
      <c r="B135" s="29" t="str">
        <f>'[3]1 lentelė'!B130</f>
        <v>2.3.3.1.1</v>
      </c>
      <c r="C135" s="29" t="str">
        <f>'[3]1 lentelė'!C130</f>
        <v>R09B000-510000-2302</v>
      </c>
      <c r="D135" s="29" t="str">
        <f>'[3]1 lentelė'!D130</f>
        <v>Pasaulinio medicininių produktų gamintojo plėtros projektas                         (URPT 2018-06-07 sprendimas Nr.51/7S-31)</v>
      </c>
      <c r="E135" s="70" t="s">
        <v>1523</v>
      </c>
    </row>
    <row r="136" spans="1:5" ht="25.5" hidden="1" x14ac:dyDescent="0.25">
      <c r="B136" s="15" t="str">
        <f>'[3]1 lentelė'!B131</f>
        <v>3.</v>
      </c>
      <c r="C136" s="15"/>
      <c r="D136" s="15" t="str">
        <f>'[3]1 lentelė'!D131</f>
        <v>Prioritetas: Gyvenimo kokybės gerinimas</v>
      </c>
      <c r="E136" s="15"/>
    </row>
    <row r="137" spans="1:5" ht="38.25" hidden="1" x14ac:dyDescent="0.25">
      <c r="B137" s="17" t="str">
        <f>'[3]1 lentelė'!B132</f>
        <v xml:space="preserve">3.1 </v>
      </c>
      <c r="C137" s="17"/>
      <c r="D137" s="17" t="str">
        <f>'[3]1 lentelė'!D132</f>
        <v>Tikslas: Mokymosi visą gyvenimą ir kūrybiškumo skatinimas</v>
      </c>
      <c r="E137" s="17"/>
    </row>
    <row r="138" spans="1:5" ht="38.25" hidden="1" x14ac:dyDescent="0.25">
      <c r="B138" s="20" t="str">
        <f>'[3]1 lentelė'!B133</f>
        <v>3.1.1</v>
      </c>
      <c r="C138" s="20"/>
      <c r="D138" s="20" t="str">
        <f>'[3]1 lentelė'!D133</f>
        <v>Uždavinys: Gerinti švietimo kokybę, modernizuojant švietimo infrastruktūrą</v>
      </c>
      <c r="E138" s="20"/>
    </row>
    <row r="139" spans="1:5" ht="38.25" hidden="1" x14ac:dyDescent="0.25">
      <c r="B139" s="21" t="str">
        <f>'[3]1 lentelė'!B134</f>
        <v>3.1.1.1</v>
      </c>
      <c r="C139" s="21"/>
      <c r="D139" s="21" t="str">
        <f>'[3]1 lentelė'!D134</f>
        <v>Priemonė: Ikimokyklinio ir priešmokyklinio ugdymo prieinamumo didinimas</v>
      </c>
      <c r="E139" s="21"/>
    </row>
    <row r="140" spans="1:5" ht="168" hidden="1" x14ac:dyDescent="0.25">
      <c r="B140" s="29" t="str">
        <f>'[3]1 lentelė'!B136</f>
        <v>3.1.1.1.2</v>
      </c>
      <c r="C140" s="29" t="str">
        <f>'[3]1 lentelė'!C136</f>
        <v>R097705-230000-3102</v>
      </c>
      <c r="D140" s="29" t="str">
        <f>'[3]1 lentelė'!D136</f>
        <v>Utenos vaikų lopšelio darželio „Šaltinėlis“ vidaus patalpų modernizavimas</v>
      </c>
      <c r="E140" s="70" t="s">
        <v>807</v>
      </c>
    </row>
    <row r="141" spans="1:5" ht="127.5" hidden="1" customHeight="1" x14ac:dyDescent="0.25">
      <c r="B141" s="29" t="str">
        <f>'[3]1 lentelė'!B137</f>
        <v>3.1.1.1.3</v>
      </c>
      <c r="C141" s="29" t="str">
        <f>'[3]1 lentelė'!C137</f>
        <v>R097705-230000-3103</v>
      </c>
      <c r="D141" s="29" t="str">
        <f>'[3]1 lentelė'!D137</f>
        <v>Utenos vaikų lopšelio – darželio ,,Pasaka" vidaus patalpų modernizavimas</v>
      </c>
      <c r="E141" s="70" t="s">
        <v>1381</v>
      </c>
    </row>
    <row r="142" spans="1:5" ht="25.5" hidden="1" x14ac:dyDescent="0.25">
      <c r="B142" s="21" t="str">
        <f>'[3]1 lentelė'!B138</f>
        <v>3.1.1.2</v>
      </c>
      <c r="C142" s="21"/>
      <c r="D142" s="21" t="str">
        <f>'[3]1 lentelė'!D138</f>
        <v>Priemonė:  Mokyklų tinklo efektyvumo didinimas</v>
      </c>
      <c r="E142" s="21"/>
    </row>
    <row r="143" spans="1:5" ht="156" hidden="1" x14ac:dyDescent="0.25">
      <c r="B143" s="29" t="str">
        <f>'[3]1 lentelė'!B139</f>
        <v>3.1.1.2.1</v>
      </c>
      <c r="C143" s="29" t="str">
        <f>'[3]1 lentelė'!C139</f>
        <v>R097724-220000-3103</v>
      </c>
      <c r="D143" s="29" t="str">
        <f>'[3]1 lentelė'!D139</f>
        <v xml:space="preserve">Anykščių miesto A.Vienuolio progimnazijos modernizavimas (vidaus erdvių remontas ir aprūpinimas įranga) </v>
      </c>
      <c r="E143" s="70" t="s">
        <v>809</v>
      </c>
    </row>
    <row r="144" spans="1:5" ht="217.5" hidden="1" customHeight="1" x14ac:dyDescent="0.25">
      <c r="B144" s="29" t="str">
        <f>'[3]1 lentelė'!B140</f>
        <v>3.1.1.2.2</v>
      </c>
      <c r="C144" s="29" t="str">
        <f>'[3]1 lentelė'!C140</f>
        <v>R097724-220000-3104</v>
      </c>
      <c r="D144" s="29" t="str">
        <f>'[3]1 lentelė'!D140</f>
        <v xml:space="preserve">„Kūrybiškumą skatinančių edukacinių erdvių kūrimas Molėtų gimnazijos vidaus patalpose“ </v>
      </c>
      <c r="E144" s="70" t="s">
        <v>808</v>
      </c>
    </row>
    <row r="145" spans="2:21" ht="134.25" hidden="1" customHeight="1" x14ac:dyDescent="0.25">
      <c r="B145" s="29" t="str">
        <f>'[3]1 lentelė'!B141</f>
        <v>3.1.1.2.3</v>
      </c>
      <c r="C145" s="29" t="str">
        <f>'[3]1 lentelė'!C141</f>
        <v>R097724-220000-3105</v>
      </c>
      <c r="D145" s="29" t="str">
        <f>'[3]1 lentelė'!D141</f>
        <v xml:space="preserve">„Edukacinių erdvių kūrimas Ignalinos Česlovo Kudabos progimnazijoje“ </v>
      </c>
      <c r="E145" s="70" t="s">
        <v>810</v>
      </c>
    </row>
    <row r="146" spans="2:21" ht="25.5" hidden="1" x14ac:dyDescent="0.25">
      <c r="B146" s="352" t="str">
        <f>'[3]1 lentelė'!B142</f>
        <v>3.1.2</v>
      </c>
      <c r="C146" s="352">
        <f>'[3]1 lentelė'!C142</f>
        <v>0</v>
      </c>
      <c r="D146" s="352" t="str">
        <f>'[3]1 lentelė'!D142</f>
        <v>Uždavinys: Plėtoti neformalaus ugdymosi galimybes</v>
      </c>
      <c r="E146" s="352"/>
    </row>
    <row r="147" spans="2:21" ht="25.5" hidden="1" x14ac:dyDescent="0.25">
      <c r="B147" s="21" t="str">
        <f>'[3]1 lentelė'!B143</f>
        <v>3.1.2.1</v>
      </c>
      <c r="C147" s="21">
        <f>'[3]1 lentelė'!C143</f>
        <v>0</v>
      </c>
      <c r="D147" s="21" t="str">
        <f>'[3]1 lentelė'!D143</f>
        <v>Priemonė: Neformaliojo švietimo infrastruktūros tobulinimas</v>
      </c>
      <c r="E147" s="21"/>
    </row>
    <row r="148" spans="2:21" ht="108" hidden="1" x14ac:dyDescent="0.25">
      <c r="B148" s="29" t="str">
        <f>'[3]1 lentelė'!B144</f>
        <v>3.1.2.1.1</v>
      </c>
      <c r="C148" s="29" t="str">
        <f>'[3]1 lentelė'!C144</f>
        <v>R097725-240000-3106</v>
      </c>
      <c r="D148" s="29" t="str">
        <f>'[3]1 lentelė'!D144</f>
        <v xml:space="preserve">Vaikų ir jaunimo neformalaus ugdymosi galimybių plėtra Anykščių kūno kultūros ir sporto centrui priklausančiuose A. Vienuolio progimnazijos patalpose </v>
      </c>
      <c r="E148" s="70" t="s">
        <v>812</v>
      </c>
    </row>
    <row r="149" spans="2:21" ht="149.25" hidden="1" customHeight="1" x14ac:dyDescent="0.25">
      <c r="B149" s="29" t="str">
        <f>'[3]1 lentelė'!B145</f>
        <v xml:space="preserve">3.1.2.1.2 </v>
      </c>
      <c r="C149" s="29" t="str">
        <f>'[3]1 lentelė'!C145</f>
        <v>R097725-243200-3107</v>
      </c>
      <c r="D149" s="29" t="str">
        <f>'[3]1 lentelė'!D145</f>
        <v>Zarasų sporto centro erdvių atnaujinimas</v>
      </c>
      <c r="E149" s="70" t="s">
        <v>811</v>
      </c>
    </row>
    <row r="150" spans="2:21" ht="25.5" hidden="1" x14ac:dyDescent="0.25">
      <c r="B150" s="17" t="str">
        <f>'[3]1 lentelė'!B146</f>
        <v xml:space="preserve">3.2 </v>
      </c>
      <c r="C150" s="17"/>
      <c r="D150" s="17" t="str">
        <f>'[3]1 lentelė'!D146</f>
        <v>Tikslas: Viešųjų paslaugų prieinamumo didinimas</v>
      </c>
      <c r="E150" s="17"/>
    </row>
    <row r="151" spans="2:21" ht="25.5" hidden="1" x14ac:dyDescent="0.25">
      <c r="B151" s="20" t="str">
        <f>'[3]1 lentelė'!B147</f>
        <v>3.2.1</v>
      </c>
      <c r="C151" s="20"/>
      <c r="D151" s="20" t="str">
        <f>'[3]1 lentelė'!D147</f>
        <v>Uždavinys: Užtikrinti kokybišką ir prieinamą sveikatos priežiūrą</v>
      </c>
      <c r="E151" s="20"/>
    </row>
    <row r="152" spans="2:21" ht="38.25" hidden="1" x14ac:dyDescent="0.25">
      <c r="B152" s="21" t="str">
        <f>'[3]1 lentelė'!B148</f>
        <v>3.2.1.1</v>
      </c>
      <c r="C152" s="21"/>
      <c r="D152" s="21" t="str">
        <f>'[3]1 lentelė'!D148</f>
        <v>Priemonė: Pirminės asmens ir visuomenės sveikatos priežiūros veiklos efektyvumo didinimas</v>
      </c>
      <c r="E152" s="21"/>
    </row>
    <row r="153" spans="2:21" ht="312" hidden="1" x14ac:dyDescent="0.25">
      <c r="B153" s="29" t="str">
        <f>'[3]1 lentelė'!B149</f>
        <v>3.2.1.1.1</v>
      </c>
      <c r="C153" s="29" t="str">
        <f>'[3]1 lentelė'!C149</f>
        <v>R096609-270000-3236</v>
      </c>
      <c r="D153" s="29" t="str">
        <f>'[3]1 lentelė'!D149</f>
        <v>Anykščių rajono savivaldybės gyventojų sveikatos stiprinimas gerinant pirminės sveikatos priežiūros paslaugų prieinamumą ir kokybę</v>
      </c>
      <c r="E153" s="70" t="s">
        <v>815</v>
      </c>
    </row>
    <row r="154" spans="2:21" ht="156" hidden="1" x14ac:dyDescent="0.25">
      <c r="B154" s="29" t="str">
        <f>'[3]1 lentelė'!B150</f>
        <v>3.2.1.1.2</v>
      </c>
      <c r="C154" s="29" t="str">
        <f>'[3]1 lentelė'!C150</f>
        <v>R096609-270000-3237</v>
      </c>
      <c r="D154" s="29" t="str">
        <f>'[3]1 lentelė'!D150</f>
        <v>Pirminės sveikatos paslaugų gerinimas VšĮ Ignalinos rajono poliklinikoje</v>
      </c>
      <c r="E154" s="70" t="s">
        <v>817</v>
      </c>
      <c r="U154" s="6" t="s">
        <v>765</v>
      </c>
    </row>
    <row r="155" spans="2:21" ht="185.25" hidden="1" customHeight="1" x14ac:dyDescent="0.25">
      <c r="B155" s="29" t="str">
        <f>'[3]1 lentelė'!B151</f>
        <v>3.2.1.1.3</v>
      </c>
      <c r="C155" s="29" t="str">
        <f>'[3]1 lentelė'!C151</f>
        <v>R096609-270000-3238</v>
      </c>
      <c r="D155" s="29" t="str">
        <f>'[3]1 lentelė'!D151</f>
        <v>UAB „Ignalinos sveikatos centras“ pirminės asmens sveikatos priežiūros paslaugų teikimo efektyvumo didinimas</v>
      </c>
      <c r="E155" s="70" t="s">
        <v>813</v>
      </c>
    </row>
    <row r="156" spans="2:21" ht="216" hidden="1" x14ac:dyDescent="0.25">
      <c r="B156" s="29" t="str">
        <f>'[3]1 lentelė'!B152</f>
        <v>3.2.1.1.4</v>
      </c>
      <c r="C156" s="29" t="str">
        <f>'[3]1 lentelė'!C152</f>
        <v>R096609-270000-3239</v>
      </c>
      <c r="D156" s="29" t="str">
        <f>'[3]1 lentelė'!D152</f>
        <v>Molėtų r. pirminės sveikatos priežiūros centro veiklos efektyvumo didinimas</v>
      </c>
      <c r="E156" s="70" t="s">
        <v>816</v>
      </c>
    </row>
    <row r="157" spans="2:21" ht="207" hidden="1" customHeight="1" x14ac:dyDescent="0.25">
      <c r="B157" s="29" t="str">
        <f>'[3]1 lentelė'!B153</f>
        <v>3.2.1.1.5</v>
      </c>
      <c r="C157" s="29" t="str">
        <f>'[3]1 lentelė'!C153</f>
        <v>R096609-270000-3240</v>
      </c>
      <c r="D157" s="29" t="str">
        <f>'[3]1 lentelė'!D153</f>
        <v>Pirminės asmens sveikatos priežiūros veiklos efektyvumo didinimas Utenos rajone</v>
      </c>
      <c r="E157" s="70" t="s">
        <v>820</v>
      </c>
    </row>
    <row r="158" spans="2:21" ht="168" hidden="1" x14ac:dyDescent="0.25">
      <c r="B158" s="29" t="str">
        <f>'[3]1 lentelė'!B154</f>
        <v>3.2.1.1.6</v>
      </c>
      <c r="C158" s="29" t="str">
        <f>'[3]1 lentelė'!C154</f>
        <v>R096609-270000-3241</v>
      </c>
      <c r="D158" s="29" t="str">
        <f>'[3]1 lentelė'!D154</f>
        <v>UAB "Dilina" teikiamų paslaugų efektyvumo didinimas</v>
      </c>
      <c r="E158" s="70" t="s">
        <v>818</v>
      </c>
    </row>
    <row r="159" spans="2:21" ht="372" hidden="1" x14ac:dyDescent="0.25">
      <c r="B159" s="29" t="str">
        <f>'[3]1 lentelė'!B155</f>
        <v>3.2.1.1.7</v>
      </c>
      <c r="C159" s="29" t="str">
        <f>'[3]1 lentelė'!C155</f>
        <v>R096609-270000-3242</v>
      </c>
      <c r="D159" s="29" t="str">
        <f>'[3]1 lentelė'!D155</f>
        <v>Pirminės asmens sveikatos priežiūros paslaugų kokybės ir prieinamumo gerinimas Zarasų rajono savivaldybėje</v>
      </c>
      <c r="E159" s="70" t="s">
        <v>814</v>
      </c>
    </row>
    <row r="160" spans="2:21" ht="194.25" hidden="1" customHeight="1" x14ac:dyDescent="0.25">
      <c r="B160" s="29" t="str">
        <f>'[3]1 lentelė'!B156</f>
        <v>3.2.1.1.8</v>
      </c>
      <c r="C160" s="29" t="str">
        <f>'[3]1 lentelė'!C156</f>
        <v>R096609-270000-3243</v>
      </c>
      <c r="D160" s="29" t="str">
        <f>'[3]1 lentelė'!D156</f>
        <v>Pirminės asmens sveikatos priežiūros veiklos efektyvumo didinimas VšĮ Visagino  pirminės sveikatos priežiūros centre</v>
      </c>
      <c r="E160" s="70" t="s">
        <v>819</v>
      </c>
    </row>
    <row r="161" spans="2:5" ht="119.25" hidden="1" customHeight="1" x14ac:dyDescent="0.25">
      <c r="B161" s="29" t="str">
        <f>'[3]1 lentelė'!B157</f>
        <v>3.2.1.1.9</v>
      </c>
      <c r="C161" s="29" t="str">
        <f>'[3]1 lentelė'!C157</f>
        <v>R096609-270000-3244</v>
      </c>
      <c r="D161" s="29" t="str">
        <f>'[3]1 lentelė'!D157</f>
        <v>Asmens sveikatos priežiūros  kokybės gerinimas Utenos rajono gyventojams</v>
      </c>
      <c r="E161" s="70" t="s">
        <v>1497</v>
      </c>
    </row>
    <row r="162" spans="2:5" ht="63.75" hidden="1" x14ac:dyDescent="0.25">
      <c r="B162" s="21" t="str">
        <f>'[3]1 lentelė'!B158</f>
        <v>3.2.1.2</v>
      </c>
      <c r="C162" s="21">
        <f>'[3]1 lentelė'!C158</f>
        <v>0</v>
      </c>
      <c r="D162" s="21" t="str">
        <f>'[3]1 lentelė'!D158</f>
        <v>Priemonė: Priemonių, gerinančių ambulatorinių sveikatos priežiūros paslaugų prieinamumą tuberkulioze sergantiems asmenims, įgyvendinimas</v>
      </c>
      <c r="E162" s="21"/>
    </row>
    <row r="163" spans="2:5" ht="85.5" hidden="1" customHeight="1" x14ac:dyDescent="0.25">
      <c r="B163" s="29" t="str">
        <f>'[3]1 lentelė'!B159</f>
        <v>3.2.1.2.1</v>
      </c>
      <c r="C163" s="29" t="str">
        <f>'[3]1 lentelė'!C159</f>
        <v>R096615-470000-3201</v>
      </c>
      <c r="D163" s="29" t="str">
        <f>'[3]1 lentelė'!D159</f>
        <v>Tuberkuliozės gydymo skatinimas Anykščių rajono
savivaldybėje</v>
      </c>
      <c r="E163" s="70" t="s">
        <v>821</v>
      </c>
    </row>
    <row r="164" spans="2:5" ht="159.75" hidden="1" customHeight="1" x14ac:dyDescent="0.25">
      <c r="B164" s="29" t="str">
        <f>'[3]1 lentelė'!B160</f>
        <v>3.2.1.2.2</v>
      </c>
      <c r="C164" s="29" t="str">
        <f>'[3]1 lentelė'!C160</f>
        <v>R096615-470000-3202</v>
      </c>
      <c r="D164" s="29" t="str">
        <f>'[3]1 lentelė'!D160</f>
        <v>Sergamumo ir mirtingumo mažinimas nuo tuberkuliozės Ignalinos rajone</v>
      </c>
      <c r="E164" s="70" t="s">
        <v>822</v>
      </c>
    </row>
    <row r="165" spans="2:5" ht="302.25" hidden="1" customHeight="1" x14ac:dyDescent="0.25">
      <c r="B165" s="29" t="str">
        <f>'[3]1 lentelė'!B161</f>
        <v>3.2.1.2.3</v>
      </c>
      <c r="C165" s="29" t="str">
        <f>'[3]1 lentelė'!C161</f>
        <v>R096615-470000-3203</v>
      </c>
      <c r="D165" s="29" t="str">
        <f>'[3]1 lentelė'!D161</f>
        <v>Paslaugų prieinamumo priemonių tuberkulioze sergantiems asmenims įgyvendinimas  Molėtų rajone</v>
      </c>
      <c r="E165" s="70" t="s">
        <v>823</v>
      </c>
    </row>
    <row r="166" spans="2:5" ht="264" hidden="1" customHeight="1" x14ac:dyDescent="0.25">
      <c r="B166" s="29" t="str">
        <f>'[3]1 lentelė'!B162</f>
        <v>3.2.1.2.4</v>
      </c>
      <c r="C166" s="29" t="str">
        <f>'[3]1 lentelė'!C162</f>
        <v>R096615-470000-3204</v>
      </c>
      <c r="D166" s="29" t="str">
        <f>'[3]1 lentelė'!D162</f>
        <v>Priemonių, gerinančių ambulatorinių sveikatos priežiūros paslaugų prieinamumą tuberkulioze sergantiems asmenims, įgyvendinimas Utenos rajone</v>
      </c>
      <c r="E166" s="70" t="s">
        <v>824</v>
      </c>
    </row>
    <row r="167" spans="2:5" ht="252.75" hidden="1" customHeight="1" x14ac:dyDescent="0.25">
      <c r="B167" s="29" t="str">
        <f>'[3]1 lentelė'!B163</f>
        <v>3.2.1.2.5</v>
      </c>
      <c r="C167" s="29" t="str">
        <f>'[3]1 lentelė'!C163</f>
        <v>R096615-470000-3205</v>
      </c>
      <c r="D167" s="29" t="str">
        <f>'[3]1 lentelė'!D163</f>
        <v>Sergamumo ir mirtingumo mažinimas nuo tuberkuliozės Visagino savivaldybėje</v>
      </c>
      <c r="E167" s="70" t="s">
        <v>826</v>
      </c>
    </row>
    <row r="168" spans="2:5" ht="120" hidden="1" x14ac:dyDescent="0.25">
      <c r="B168" s="29" t="str">
        <f>'[3]1 lentelė'!B164</f>
        <v>3.2.1.2.6</v>
      </c>
      <c r="C168" s="29" t="str">
        <f>'[3]1 lentelė'!C164</f>
        <v>R096615-470000-3206</v>
      </c>
      <c r="D168" s="29" t="str">
        <f>'[3]1 lentelė'!D164</f>
        <v>Priemonių, gerinančių ambulatorinių sveikatos priežiūros paslaugų prieinamumą tuberkulioze sergantiems asmenims, įgyvendinimas Zarasų rajono savivaldybėje</v>
      </c>
      <c r="E168" s="70" t="s">
        <v>825</v>
      </c>
    </row>
    <row r="169" spans="2:5" ht="38.25" hidden="1" x14ac:dyDescent="0.25">
      <c r="B169" s="20" t="str">
        <f>'[3]1 lentelė'!B165</f>
        <v>3.2.2</v>
      </c>
      <c r="C169" s="20"/>
      <c r="D169" s="20" t="str">
        <f>'[3]1 lentelė'!D165</f>
        <v>Uždavinys: Skatinti sveiką gyvenseną ir visuomenės sveikatos raštingumą</v>
      </c>
      <c r="E169" s="20"/>
    </row>
    <row r="170" spans="2:5" ht="25.5" hidden="1" x14ac:dyDescent="0.25">
      <c r="B170" s="21" t="str">
        <f>'[3]1 lentelė'!B166</f>
        <v>3.2.2.1</v>
      </c>
      <c r="C170" s="21"/>
      <c r="D170" s="21" t="str">
        <f>'[3]1 lentelė'!D166</f>
        <v xml:space="preserve">Priemonė: Sveikos gyvensenos skatinimas regioniniu lygiu </v>
      </c>
      <c r="E170" s="21"/>
    </row>
    <row r="171" spans="2:5" ht="180" hidden="1" x14ac:dyDescent="0.25">
      <c r="B171" s="29" t="str">
        <f>'[3]1 lentelė'!B167</f>
        <v>3.2.2.1.1.</v>
      </c>
      <c r="C171" s="29" t="str">
        <f>'[3]1 lentelė'!C167</f>
        <v>R096630-470000-3207</v>
      </c>
      <c r="D171" s="29" t="str">
        <f>'[3]1 lentelė'!D167</f>
        <v>Sveikos gyvensenos skatinimas Anykščių rajono savivaldybėje</v>
      </c>
      <c r="E171" s="70" t="s">
        <v>831</v>
      </c>
    </row>
    <row r="172" spans="2:5" ht="270.75" hidden="1" customHeight="1" x14ac:dyDescent="0.25">
      <c r="B172" s="29" t="str">
        <f>'[3]1 lentelė'!B168</f>
        <v>3.2.2.1.2.</v>
      </c>
      <c r="C172" s="29" t="str">
        <f>'[3]1 lentelė'!C168</f>
        <v>R096630-470000-3208</v>
      </c>
      <c r="D172" s="29" t="str">
        <f>'[3]1 lentelė'!D168</f>
        <v>Sveikos gyvensenos skatinimas Molėtų rajono savivaldybėje</v>
      </c>
      <c r="E172" s="70" t="s">
        <v>828</v>
      </c>
    </row>
    <row r="173" spans="2:5" ht="267.75" hidden="1" customHeight="1" x14ac:dyDescent="0.25">
      <c r="B173" s="29" t="str">
        <f>'[3]1 lentelė'!B169</f>
        <v>3.2.2.1.3.</v>
      </c>
      <c r="C173" s="29" t="str">
        <f>'[3]1 lentelė'!C169</f>
        <v>R096630-470000-3209</v>
      </c>
      <c r="D173" s="29" t="str">
        <f>'[3]1 lentelė'!D169</f>
        <v>Sveikos gyvensenos skatinimas Utenos rajone</v>
      </c>
      <c r="E173" s="70" t="s">
        <v>832</v>
      </c>
    </row>
    <row r="174" spans="2:5" ht="324" hidden="1" x14ac:dyDescent="0.25">
      <c r="B174" s="29" t="str">
        <f>'[3]1 lentelė'!B170</f>
        <v>3.2.2.1.4.</v>
      </c>
      <c r="C174" s="29" t="str">
        <f>'[3]1 lentelė'!C170</f>
        <v>R096630-470000-3210</v>
      </c>
      <c r="D174" s="29" t="str">
        <f>'[3]1 lentelė'!D170</f>
        <v>Sveikos gyvensenos skatinimas Zarasų rajono savivaldybėje</v>
      </c>
      <c r="E174" s="70" t="s">
        <v>829</v>
      </c>
    </row>
    <row r="175" spans="2:5" ht="183.75" hidden="1" customHeight="1" x14ac:dyDescent="0.25">
      <c r="B175" s="29" t="str">
        <f>'[3]1 lentelė'!B171</f>
        <v>3.2.2.1.5.</v>
      </c>
      <c r="C175" s="29" t="str">
        <f>'[3]1 lentelė'!C171</f>
        <v>R096630-470000-32011</v>
      </c>
      <c r="D175" s="29" t="str">
        <f>'[3]1 lentelė'!D171</f>
        <v>Sveikos gyvensenos skatinimas Ignalinos rajone</v>
      </c>
      <c r="E175" s="70" t="s">
        <v>830</v>
      </c>
    </row>
    <row r="176" spans="2:5" ht="169.5" hidden="1" customHeight="1" x14ac:dyDescent="0.25">
      <c r="B176" s="29" t="str">
        <f>'[3]1 lentelė'!B172</f>
        <v>3.2.2.1.6.</v>
      </c>
      <c r="C176" s="29" t="str">
        <f>'[3]1 lentelė'!C172</f>
        <v>R096630-470000-3212</v>
      </c>
      <c r="D176" s="29" t="str">
        <f>'[3]1 lentelė'!D172</f>
        <v>Vaikų  sveikos  gyvensenos  skatinimas Visagino savivaldybėje</v>
      </c>
      <c r="E176" s="70" t="s">
        <v>827</v>
      </c>
    </row>
    <row r="177" spans="2:21" ht="72" hidden="1" x14ac:dyDescent="0.25">
      <c r="B177" s="29" t="str">
        <f>'[3]1 lentelė'!B173</f>
        <v>3.2.2.1.7.</v>
      </c>
      <c r="C177" s="29" t="str">
        <f>'[3]1 lentelė'!C173</f>
        <v>R096630-470000-3236</v>
      </c>
      <c r="D177" s="29" t="str">
        <f>'[3]1 lentelė'!D173</f>
        <v>Sveikos gyvensenos skatinimas Ignalinos rajone. II etapas</v>
      </c>
      <c r="E177" s="70" t="s">
        <v>857</v>
      </c>
    </row>
    <row r="178" spans="2:21" ht="51" hidden="1" x14ac:dyDescent="0.25">
      <c r="B178" s="20" t="str">
        <f>'[3]1 lentelė'!B174</f>
        <v>3.2.3</v>
      </c>
      <c r="C178" s="20">
        <f>'[3]1 lentelė'!C174</f>
        <v>0</v>
      </c>
      <c r="D178" s="20" t="str">
        <f>'[3]1 lentelė'!D174</f>
        <v>Uždavinys: Plėtoti socialinių paslaugų infrastruktūrą ir socialinio būsto fondą bei didinti jų prieinamumą</v>
      </c>
      <c r="E178" s="20"/>
    </row>
    <row r="179" spans="2:21" ht="25.5" hidden="1" x14ac:dyDescent="0.25">
      <c r="B179" s="21" t="str">
        <f>'[3]1 lentelė'!B175</f>
        <v>3.2.3.1</v>
      </c>
      <c r="C179" s="21">
        <f>'[3]1 lentelė'!C175</f>
        <v>0</v>
      </c>
      <c r="D179" s="21" t="str">
        <f>'[3]1 lentelė'!D175</f>
        <v>Priemonė: Socialinių paslaugų infrastruktūros plėtra</v>
      </c>
      <c r="E179" s="21"/>
    </row>
    <row r="180" spans="2:21" ht="180" hidden="1" x14ac:dyDescent="0.25">
      <c r="B180" s="29" t="str">
        <f>'[3]1 lentelė'!B176</f>
        <v>3.2.3.1.1</v>
      </c>
      <c r="C180" s="29" t="str">
        <f>'[3]1 lentelė'!C176</f>
        <v>R094407-270000-3213</v>
      </c>
      <c r="D180" s="29" t="str">
        <f>'[3]1 lentelė'!D176</f>
        <v>Anykščių rajono Svėdasų senelių globos namų modernizavimas</v>
      </c>
      <c r="E180" s="70" t="s">
        <v>835</v>
      </c>
    </row>
    <row r="181" spans="2:21" ht="159.75" hidden="1" customHeight="1" x14ac:dyDescent="0.25">
      <c r="B181" s="29" t="str">
        <f>'[3]1 lentelė'!B177</f>
        <v>3.2.3.1.2</v>
      </c>
      <c r="C181" s="29" t="str">
        <f>'[3]1 lentelė'!C177</f>
        <v>R094407-270000-3214</v>
      </c>
      <c r="D181" s="29" t="str">
        <f>'[3]1 lentelė'!D177</f>
        <v>Utenos rajono savivaldybės Leliūnų socialinės globos namų modernizavimas</v>
      </c>
      <c r="E181" s="70" t="s">
        <v>834</v>
      </c>
    </row>
    <row r="182" spans="2:21" ht="150.75" hidden="1" customHeight="1" x14ac:dyDescent="0.25">
      <c r="B182" s="29" t="str">
        <f>'[3]1 lentelė'!B178</f>
        <v>3.2.3.1.3</v>
      </c>
      <c r="C182" s="29" t="str">
        <f>'[3]1 lentelė'!C178</f>
        <v>R094407-270000-3215</v>
      </c>
      <c r="D182" s="29" t="str">
        <f>'[3]1 lentelė'!D178</f>
        <v>Zarasų rajono socialinių paslaugų centro nakvynės namų modernizavimas ir plėtra</v>
      </c>
      <c r="E182" s="70" t="s">
        <v>833</v>
      </c>
      <c r="U182" s="6" t="s">
        <v>766</v>
      </c>
    </row>
    <row r="183" spans="2:21" ht="168" hidden="1" x14ac:dyDescent="0.25">
      <c r="B183" s="29" t="str">
        <f>'[3]1 lentelė'!B179</f>
        <v>3.2.3.1.4</v>
      </c>
      <c r="C183" s="29" t="str">
        <f>'[3]1 lentelė'!C179</f>
        <v>R094407-270000-3216</v>
      </c>
      <c r="D183" s="29" t="str">
        <f>'[3]1 lentelė'!D179</f>
        <v>Apleisto (nenaudojamo) buvusio visuomeninio pastato konversija ir pritaikymas savarankiško gyvenimo namų Visagine įkūrimas</v>
      </c>
      <c r="E183" s="70" t="s">
        <v>836</v>
      </c>
    </row>
    <row r="184" spans="2:21" ht="25.5" x14ac:dyDescent="0.25">
      <c r="B184" s="21" t="str">
        <f>'[3]1 lentelė'!B180</f>
        <v>3.2.3.2</v>
      </c>
      <c r="C184" s="21"/>
      <c r="D184" s="21" t="str">
        <f>'[3]1 lentelė'!D180</f>
        <v>Priemonė: Socialinio būsto fondo plėtra</v>
      </c>
      <c r="E184" s="21"/>
    </row>
    <row r="185" spans="2:21" ht="108" x14ac:dyDescent="0.25">
      <c r="B185" s="29" t="str">
        <f>'[3]1 lentelė'!B181</f>
        <v>3.2.3.2.1</v>
      </c>
      <c r="C185" s="29" t="str">
        <f>'[3]1 lentelė'!C181</f>
        <v>R094408-252600-3217</v>
      </c>
      <c r="D185" s="29" t="str">
        <f>'[3]1 lentelė'!D181</f>
        <v>Socialinio būsto fondo plėtra Ignalinos rajono savivaldybėje</v>
      </c>
      <c r="E185" s="70" t="s">
        <v>840</v>
      </c>
    </row>
    <row r="186" spans="2:21" ht="110.25" customHeight="1" x14ac:dyDescent="0.25">
      <c r="B186" s="29" t="str">
        <f>'[3]1 lentelė'!B182</f>
        <v>3.2.3.2.2</v>
      </c>
      <c r="C186" s="29" t="str">
        <f>'[3]1 lentelė'!C182</f>
        <v>R094408-250000-3218</v>
      </c>
      <c r="D186" s="29" t="str">
        <f>'[3]1 lentelė'!D182</f>
        <v>Bendrabučio tipo pastato, esančio Visagine,  Kosmoso 28, patalpų pritaikymas socialinio būsto įrengimui</v>
      </c>
      <c r="E186" s="70" t="s">
        <v>839</v>
      </c>
    </row>
    <row r="187" spans="2:21" ht="156" x14ac:dyDescent="0.25">
      <c r="B187" s="29" t="str">
        <f>'[3]1 lentelė'!B183</f>
        <v>3.2.3.2.3</v>
      </c>
      <c r="C187" s="29" t="str">
        <f>'[3]1 lentelė'!C183</f>
        <v>R094408-250000-3219</v>
      </c>
      <c r="D187" s="29" t="str">
        <f>'[3]1 lentelė'!D183</f>
        <v>Socialinio būsto fondo plėtra Anykščių rajono savivaldybėje</v>
      </c>
      <c r="E187" s="70" t="s">
        <v>838</v>
      </c>
    </row>
    <row r="188" spans="2:21" ht="72" x14ac:dyDescent="0.25">
      <c r="B188" s="29" t="str">
        <f>'[3]1 lentelė'!B184</f>
        <v>3.2.3.2.4</v>
      </c>
      <c r="C188" s="29" t="str">
        <f>'[3]1 lentelė'!C184</f>
        <v>R094408-262500-3220</v>
      </c>
      <c r="D188" s="29" t="str">
        <f>'[3]1 lentelė'!D184</f>
        <v>Socialinio būsto fondo plėtra Molėtų rajono savivaldybėje</v>
      </c>
      <c r="E188" s="70" t="s">
        <v>1532</v>
      </c>
    </row>
    <row r="189" spans="2:21" ht="123" customHeight="1" x14ac:dyDescent="0.25">
      <c r="B189" s="29" t="str">
        <f>'[3]1 lentelė'!B185</f>
        <v>3.2.3.2.5</v>
      </c>
      <c r="C189" s="29" t="str">
        <f>'[3]1 lentelė'!C185</f>
        <v>R094408-260000-3221</v>
      </c>
      <c r="D189" s="29" t="str">
        <f>'[3]1 lentelė'!D185</f>
        <v>Socialinio būsto fondo plėtra Zarasų rajono savivaldybėje</v>
      </c>
      <c r="E189" s="70" t="s">
        <v>1533</v>
      </c>
    </row>
    <row r="190" spans="2:21" ht="108" x14ac:dyDescent="0.25">
      <c r="B190" s="29" t="str">
        <f>'[3]1 lentelė'!B186</f>
        <v>3.2.3.2.6</v>
      </c>
      <c r="C190" s="29" t="str">
        <f>'[3]1 lentelė'!C186</f>
        <v>R094408-260000-3222</v>
      </c>
      <c r="D190" s="29" t="str">
        <f>'[3]1 lentelė'!D186</f>
        <v>Socialinio būsto fondo plėtra Utenos rajono savivaldybėje</v>
      </c>
      <c r="E190" s="70" t="s">
        <v>837</v>
      </c>
    </row>
    <row r="191" spans="2:21" ht="25.5" hidden="1" x14ac:dyDescent="0.25">
      <c r="B191" s="20" t="str">
        <f>'[3]1 lentelė'!B187</f>
        <v>3.2.4</v>
      </c>
      <c r="C191" s="20"/>
      <c r="D191" s="20" t="str">
        <f>'[3]1 lentelė'!D187</f>
        <v>Uždavinys: Plėtoti kultūros paslaugas ir infrastruktūrą</v>
      </c>
      <c r="E191" s="20"/>
    </row>
    <row r="192" spans="2:21" ht="38.25" hidden="1" x14ac:dyDescent="0.25">
      <c r="B192" s="21" t="str">
        <f>'[3]1 lentelė'!B188</f>
        <v>3.2.4.1</v>
      </c>
      <c r="C192" s="21"/>
      <c r="D192" s="21" t="str">
        <f>'[3]1 lentelė'!D188</f>
        <v>Priemonė: Modernizuoti savivaldybių kultūros infrastuktūrą</v>
      </c>
      <c r="E192" s="21"/>
    </row>
    <row r="193" spans="2:21" ht="136.5" hidden="1" customHeight="1" x14ac:dyDescent="0.25">
      <c r="B193" s="29" t="str">
        <f>'[3]1 lentelė'!B189</f>
        <v>3.2.4.1.1</v>
      </c>
      <c r="C193" s="29" t="str">
        <f>'[3]1 lentelė'!C189</f>
        <v>R093305-330000-3223</v>
      </c>
      <c r="D193" s="29" t="str">
        <f>'[3]1 lentelė'!D189</f>
        <v xml:space="preserve">Ignalinos rajono savivaldybės viešosios bibliotekos infrastruktūros pritaikymas vietos bendruomenės poreikiams </v>
      </c>
      <c r="E193" s="70" t="s">
        <v>841</v>
      </c>
    </row>
    <row r="194" spans="2:21" ht="144" hidden="1" x14ac:dyDescent="0.25">
      <c r="B194" s="29" t="str">
        <f>'[3]1 lentelė'!B190</f>
        <v>3.2.4.1.2</v>
      </c>
      <c r="C194" s="29" t="str">
        <f>'[3]1 lentelė'!C190</f>
        <v>R093305-334300-3224</v>
      </c>
      <c r="D194" s="29" t="str">
        <f>'[3]1 lentelė'!D190</f>
        <v>Renginių infrastruktūros atnaujinimas Zarasų miesto Didžiojoje saloje</v>
      </c>
      <c r="E194" s="70" t="s">
        <v>843</v>
      </c>
    </row>
    <row r="195" spans="2:21" ht="180" hidden="1" x14ac:dyDescent="0.25">
      <c r="B195" s="29" t="str">
        <f>'[3]1 lentelė'!B191</f>
        <v>3.2.4.1.3</v>
      </c>
      <c r="C195" s="29" t="str">
        <f>'[3]1 lentelė'!C191</f>
        <v>R093305-330000-3225</v>
      </c>
      <c r="D195" s="29" t="str">
        <f>'[3]1 lentelė'!D191</f>
        <v>Molėtų miesto laisvalaikio ir pramogų infrastruktūros atnaujinimas ir plėtra Labanoro g. 1b, Molėtai</v>
      </c>
      <c r="E195" s="70" t="s">
        <v>842</v>
      </c>
      <c r="U195" s="6" t="s">
        <v>766</v>
      </c>
    </row>
    <row r="196" spans="2:21" ht="172.5" hidden="1" customHeight="1" x14ac:dyDescent="0.25">
      <c r="B196" s="29" t="str">
        <f>'[3]1 lentelė'!B192</f>
        <v>3.2.4.1.4</v>
      </c>
      <c r="C196" s="29" t="str">
        <f>'[3]1 lentelė'!C192</f>
        <v>R093305-330000-3226</v>
      </c>
      <c r="D196" s="29" t="str">
        <f>'[3]1 lentelė'!D192</f>
        <v>Buvusios Sedulinos mokyklos pastato pritaikymas Visagino kultūros centro ir bendruomenės reikmėms, įrengiant Kultūros, turizmo ir kūrybinio verslo miestą po vienu stogu.</v>
      </c>
      <c r="E196" s="70" t="s">
        <v>844</v>
      </c>
    </row>
    <row r="197" spans="2:21" ht="179.25" hidden="1" customHeight="1" x14ac:dyDescent="0.25">
      <c r="B197" s="29" t="str">
        <f>'[3]1 lentelė'!B193</f>
        <v>3.2.4.1.5</v>
      </c>
      <c r="C197" s="29" t="str">
        <f>'[3]1 lentelė'!C193</f>
        <v>R093305-330000-3227</v>
      </c>
      <c r="D197" s="29" t="str">
        <f>'[3]1 lentelė'!D193</f>
        <v>Lietuvos etnokosmologijos muziejaus paslaugų plėtros baigiamasis etapas</v>
      </c>
      <c r="E197" s="70" t="s">
        <v>845</v>
      </c>
    </row>
    <row r="198" spans="2:21" ht="156" hidden="1" x14ac:dyDescent="0.25">
      <c r="B198" s="29" t="str">
        <f>'[3]1 lentelė'!B194</f>
        <v>3.2.4.1.6</v>
      </c>
      <c r="C198" s="29" t="str">
        <f>'[3]1 lentelė'!C194</f>
        <v>R093305-330000-3228</v>
      </c>
      <c r="D198" s="29" t="str">
        <f>'[3]1 lentelė'!D194</f>
        <v>Utenos A. ir M. Miškinių viešosios bibliotekos modernizavimas</v>
      </c>
      <c r="E198" s="70" t="s">
        <v>846</v>
      </c>
    </row>
    <row r="199" spans="2:21" ht="24.75" hidden="1" customHeight="1" x14ac:dyDescent="0.25">
      <c r="B199" s="20" t="str">
        <f>'[3]1 lentelė'!B195</f>
        <v>3.2.5</v>
      </c>
      <c r="C199" s="20"/>
      <c r="D199" s="20" t="str">
        <f>'[3]1 lentelė'!D195</f>
        <v>Uždavinys: Gerinti viešąjį valdymą</v>
      </c>
      <c r="E199" s="20"/>
    </row>
    <row r="200" spans="2:21" ht="38.25" hidden="1" x14ac:dyDescent="0.25">
      <c r="B200" s="21" t="str">
        <f>'[3]1 lentelė'!B196</f>
        <v>3.2.5.1</v>
      </c>
      <c r="C200" s="21"/>
      <c r="D200" s="21" t="str">
        <f>'[3]1 lentelė'!D196</f>
        <v>Priemonė: Paslaugų ir asmenų aptarnavimo kokybės gerinimas savivaldybėse</v>
      </c>
      <c r="E200" s="21"/>
    </row>
    <row r="201" spans="2:21" ht="204" hidden="1" x14ac:dyDescent="0.25">
      <c r="B201" s="29" t="str">
        <f>'[3]1 lentelė'!B197</f>
        <v>3.2.5.1.1</v>
      </c>
      <c r="C201" s="29" t="str">
        <f>'[3]1 lentelė'!C197</f>
        <v>R099920-490000-3229</v>
      </c>
      <c r="D201" s="29" t="str">
        <f>'[3]1 lentelė'!D197</f>
        <v>Paslaugų ir asmenų aptarnavimo kokybės gerinimas Visagino  savivaldybėje</v>
      </c>
      <c r="E201" s="70" t="s">
        <v>847</v>
      </c>
    </row>
    <row r="202" spans="2:21" ht="252" hidden="1" x14ac:dyDescent="0.25">
      <c r="B202" s="29" t="str">
        <f>'[3]1 lentelė'!B198</f>
        <v>3.2.5.1.2</v>
      </c>
      <c r="C202" s="29" t="str">
        <f>'[3]1 lentelė'!C198</f>
        <v>R099920-490000-3230</v>
      </c>
      <c r="D202" s="29" t="str">
        <f>'[3]1 lentelė'!D198</f>
        <v>Paslaugų ir asmenų aptarnavimo kokybės gerinimas Molėtų rajono savivaldybėje</v>
      </c>
      <c r="E202" s="70" t="s">
        <v>850</v>
      </c>
    </row>
    <row r="203" spans="2:21" ht="291.75" hidden="1" customHeight="1" x14ac:dyDescent="0.25">
      <c r="B203" s="29" t="str">
        <f>'[3]1 lentelė'!B199</f>
        <v xml:space="preserve"> 3.2.5.1.3</v>
      </c>
      <c r="C203" s="29" t="str">
        <f>'[3]1 lentelė'!C199</f>
        <v>R099920-490000-3231</v>
      </c>
      <c r="D203" s="29" t="str">
        <f>'[3]1 lentelė'!D199</f>
        <v>Paslaugų ir asmenų aptarnavimo kokybės gerinimas Zarasų rajono savivaldybėje</v>
      </c>
      <c r="E203" s="70" t="s">
        <v>848</v>
      </c>
    </row>
    <row r="204" spans="2:21" ht="264" hidden="1" x14ac:dyDescent="0.25">
      <c r="B204" s="29" t="str">
        <f>'[3]1 lentelė'!B200</f>
        <v>3.2.5.1.4</v>
      </c>
      <c r="C204" s="29" t="str">
        <f>'[3]1 lentelė'!C200</f>
        <v>R099920-490000-3232</v>
      </c>
      <c r="D204" s="29" t="str">
        <f>'[3]1 lentelė'!D200</f>
        <v>Paslaugų ir asmenų aptarnavimo kokybės gerinimas Utenos rajono savivaldybėje, I etapas</v>
      </c>
      <c r="E204" s="70" t="s">
        <v>849</v>
      </c>
    </row>
    <row r="205" spans="2:21" ht="292.5" hidden="1" customHeight="1" x14ac:dyDescent="0.25">
      <c r="B205" s="29" t="str">
        <f>'[3]1 lentelė'!B201</f>
        <v xml:space="preserve"> 3.2.5.1.5</v>
      </c>
      <c r="C205" s="29" t="str">
        <f>'[3]1 lentelė'!C201</f>
        <v>R099920-490000-3233</v>
      </c>
      <c r="D205" s="29" t="str">
        <f>'[3]1 lentelė'!D201</f>
        <v>Paslaugų ir asmenų aptarnavimo kokybės gerinimas Anykščių savivaldybėje</v>
      </c>
      <c r="E205" s="70" t="s">
        <v>851</v>
      </c>
    </row>
    <row r="206" spans="2:21" ht="96" hidden="1" x14ac:dyDescent="0.25">
      <c r="B206" s="29" t="str">
        <f>'[3]1 lentelė'!B202</f>
        <v xml:space="preserve"> 3.2.5.1.6</v>
      </c>
      <c r="C206" s="29" t="str">
        <f>'[3]1 lentelė'!C202</f>
        <v>R099920-490000-3234</v>
      </c>
      <c r="D206" s="29" t="str">
        <f>'[3]1 lentelė'!D202</f>
        <v>Paslaugų ir asmenų aptarnavimo kokybės gerinimas Ignalinos rajono savivaldybėje</v>
      </c>
      <c r="E206" s="70" t="s">
        <v>852</v>
      </c>
    </row>
    <row r="207" spans="2:21" ht="76.5" hidden="1" x14ac:dyDescent="0.25">
      <c r="B207" s="29" t="str">
        <f>'[3]1 lentelė'!B203</f>
        <v>3.2.5.1.8</v>
      </c>
      <c r="C207" s="29" t="str">
        <f>'[3]1 lentelė'!C203</f>
        <v>R099920-490000-3236</v>
      </c>
      <c r="D207" s="29" t="str">
        <f>'[3]1 lentelė'!D203</f>
        <v>Paslaugų ir asmenų aptarnavimo kokybės gerinimas Utenos rajono seniūnijose</v>
      </c>
      <c r="E207" s="29" t="s">
        <v>1382</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8"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6"/>
  <sheetViews>
    <sheetView zoomScaleNormal="100" workbookViewId="0">
      <pane ySplit="7" topLeftCell="A195" activePane="bottomLeft" state="frozen"/>
      <selection pane="bottomLeft" activeCell="U196" sqref="U196"/>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82" t="s">
        <v>860</v>
      </c>
      <c r="R1" s="82"/>
    </row>
    <row r="2" spans="2:22" ht="15.75" x14ac:dyDescent="0.25">
      <c r="B2" s="6"/>
      <c r="C2" s="6"/>
      <c r="D2" s="6"/>
      <c r="E2" s="6"/>
      <c r="F2" s="6"/>
      <c r="Q2" s="82" t="s">
        <v>1</v>
      </c>
      <c r="R2" s="82"/>
    </row>
    <row r="3" spans="2:22" ht="15.75" x14ac:dyDescent="0.25">
      <c r="B3" s="6"/>
      <c r="C3" s="6"/>
      <c r="D3" s="6"/>
      <c r="E3" s="6"/>
      <c r="F3" s="6"/>
      <c r="Q3" s="82" t="s">
        <v>861</v>
      </c>
      <c r="R3" s="82"/>
      <c r="S3" s="229"/>
    </row>
    <row r="4" spans="2:22" ht="15.75" x14ac:dyDescent="0.25">
      <c r="B4" s="5" t="s">
        <v>862</v>
      </c>
      <c r="C4" s="6"/>
      <c r="D4" s="6"/>
      <c r="E4" s="6"/>
      <c r="F4" s="6"/>
    </row>
    <row r="5" spans="2:22" ht="15.75" customHeight="1" x14ac:dyDescent="0.25">
      <c r="B5" s="9" t="s">
        <v>863</v>
      </c>
      <c r="C5" s="6"/>
      <c r="D5" s="6"/>
      <c r="E5" s="6"/>
      <c r="F5" s="6"/>
    </row>
    <row r="6" spans="2:22" ht="29.25" customHeight="1" x14ac:dyDescent="0.25">
      <c r="B6" s="356" t="s">
        <v>46</v>
      </c>
      <c r="C6" s="373"/>
      <c r="D6" s="373"/>
      <c r="E6" s="373"/>
      <c r="F6" s="373"/>
      <c r="G6" s="374"/>
      <c r="H6" s="359" t="s">
        <v>10</v>
      </c>
      <c r="I6" s="375"/>
      <c r="J6" s="375"/>
      <c r="K6" s="375"/>
      <c r="L6" s="376" t="s">
        <v>864</v>
      </c>
      <c r="M6" s="377"/>
      <c r="N6" s="377"/>
      <c r="O6" s="378"/>
      <c r="P6" s="376" t="s">
        <v>865</v>
      </c>
      <c r="Q6" s="373"/>
      <c r="R6" s="373"/>
      <c r="S6" s="373"/>
      <c r="T6" s="363" t="s">
        <v>866</v>
      </c>
    </row>
    <row r="7" spans="2:22" ht="104.25" customHeight="1" x14ac:dyDescent="0.25">
      <c r="B7" s="361" t="s">
        <v>19</v>
      </c>
      <c r="C7" s="361" t="s">
        <v>27</v>
      </c>
      <c r="D7" s="361" t="s">
        <v>14</v>
      </c>
      <c r="E7" s="361" t="s">
        <v>5</v>
      </c>
      <c r="F7" s="361" t="s">
        <v>867</v>
      </c>
      <c r="G7" s="361" t="s">
        <v>1467</v>
      </c>
      <c r="H7" s="361" t="s">
        <v>42</v>
      </c>
      <c r="I7" s="380" t="s">
        <v>49</v>
      </c>
      <c r="J7" s="380" t="s">
        <v>47</v>
      </c>
      <c r="K7" s="380" t="s">
        <v>35</v>
      </c>
      <c r="L7" s="370" t="s">
        <v>868</v>
      </c>
      <c r="M7" s="361" t="s">
        <v>869</v>
      </c>
      <c r="N7" s="361" t="s">
        <v>47</v>
      </c>
      <c r="O7" s="370" t="s">
        <v>35</v>
      </c>
      <c r="P7" s="370" t="s">
        <v>42</v>
      </c>
      <c r="Q7" s="361" t="s">
        <v>870</v>
      </c>
      <c r="R7" s="361" t="s">
        <v>47</v>
      </c>
      <c r="S7" s="370" t="s">
        <v>871</v>
      </c>
      <c r="T7" s="379"/>
    </row>
    <row r="8" spans="2:22" ht="13.5" customHeight="1" x14ac:dyDescent="0.25">
      <c r="B8" s="372"/>
      <c r="C8" s="372"/>
      <c r="D8" s="372"/>
      <c r="E8" s="372"/>
      <c r="F8" s="372"/>
      <c r="G8" s="372"/>
      <c r="H8" s="372"/>
      <c r="I8" s="381"/>
      <c r="J8" s="381"/>
      <c r="K8" s="381"/>
      <c r="L8" s="371"/>
      <c r="M8" s="372"/>
      <c r="N8" s="372"/>
      <c r="O8" s="371"/>
      <c r="P8" s="371"/>
      <c r="Q8" s="372"/>
      <c r="R8" s="372"/>
      <c r="S8" s="371"/>
      <c r="T8" s="379"/>
    </row>
    <row r="9" spans="2:22" s="6" customFormat="1" ht="67.5" customHeight="1" x14ac:dyDescent="0.2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2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25">
      <c r="B11" s="19" t="s">
        <v>53</v>
      </c>
      <c r="C11" s="20"/>
      <c r="D11" s="20" t="s">
        <v>54</v>
      </c>
      <c r="E11" s="20"/>
      <c r="F11" s="19"/>
      <c r="G11" s="20"/>
      <c r="H11" s="332">
        <f>H12+H31+H36+H44+H59+H67+H73+H78+H84+H91+H103+H106+H113+H128+H138+H142+H147+H152+H162+H170+H179+H184+H192+H200+H39</f>
        <v>80116924.319999993</v>
      </c>
      <c r="I11" s="332">
        <f t="shared" ref="I11:S11" si="0">I12+I31+I36+I44+I59+I67+I73+I78+I84+I91+I103+I106+I113+I128+I138+I142+I147+I152+I162+I170+I179+I184+I192+I200+I39</f>
        <v>60025731.159999996</v>
      </c>
      <c r="J11" s="332">
        <f t="shared" si="0"/>
        <v>2980258.6799999997</v>
      </c>
      <c r="K11" s="332">
        <f t="shared" si="0"/>
        <v>17110934.479999997</v>
      </c>
      <c r="L11" s="332">
        <f t="shared" si="0"/>
        <v>70026388.300000012</v>
      </c>
      <c r="M11" s="332">
        <f t="shared" si="0"/>
        <v>52110767.350000001</v>
      </c>
      <c r="N11" s="332">
        <f t="shared" si="0"/>
        <v>2728267.3699999996</v>
      </c>
      <c r="O11" s="332">
        <f t="shared" si="0"/>
        <v>12189498.079999998</v>
      </c>
      <c r="P11" s="332">
        <f t="shared" si="0"/>
        <v>61051907.409999996</v>
      </c>
      <c r="Q11" s="332">
        <f t="shared" si="0"/>
        <v>38650744.666500002</v>
      </c>
      <c r="R11" s="332">
        <f t="shared" si="0"/>
        <v>1480046.4934999999</v>
      </c>
      <c r="S11" s="332">
        <f t="shared" si="0"/>
        <v>20921116.249999996</v>
      </c>
      <c r="T11" s="333"/>
    </row>
    <row r="12" spans="2:22" s="6" customFormat="1" ht="51" customHeight="1" x14ac:dyDescent="0.25">
      <c r="B12" s="21" t="s">
        <v>55</v>
      </c>
      <c r="C12" s="231" t="s">
        <v>63</v>
      </c>
      <c r="D12" s="75" t="s">
        <v>56</v>
      </c>
      <c r="E12" s="21"/>
      <c r="F12" s="21"/>
      <c r="G12" s="21"/>
      <c r="H12" s="262">
        <f>SUM(H13:H30)</f>
        <v>16686091.370000001</v>
      </c>
      <c r="I12" s="262">
        <f t="shared" ref="I12:S12" si="1">SUM(I13:I30)</f>
        <v>11905829.730000002</v>
      </c>
      <c r="J12" s="262">
        <f t="shared" si="1"/>
        <v>1044175.9</v>
      </c>
      <c r="K12" s="262">
        <f t="shared" si="1"/>
        <v>3736085.7399999993</v>
      </c>
      <c r="L12" s="262">
        <f t="shared" si="1"/>
        <v>13405092.300000003</v>
      </c>
      <c r="M12" s="262">
        <f t="shared" si="1"/>
        <v>9455846.540000001</v>
      </c>
      <c r="N12" s="262">
        <f t="shared" si="1"/>
        <v>848821.6</v>
      </c>
      <c r="O12" s="262">
        <f t="shared" si="1"/>
        <v>3100424.1599999997</v>
      </c>
      <c r="P12" s="262">
        <f t="shared" si="1"/>
        <v>7070967.4999999991</v>
      </c>
      <c r="Q12" s="262">
        <f t="shared" si="1"/>
        <v>5395458.5899999999</v>
      </c>
      <c r="R12" s="262">
        <f t="shared" si="1"/>
        <v>469730.78999999992</v>
      </c>
      <c r="S12" s="262">
        <f t="shared" si="1"/>
        <v>1205778.1199999999</v>
      </c>
      <c r="T12" s="29"/>
    </row>
    <row r="13" spans="2:22" s="6" customFormat="1" ht="62.25" customHeight="1" x14ac:dyDescent="0.2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1079</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3">
        <f>Q13+R13+S13</f>
        <v>470577.3</v>
      </c>
      <c r="Q13" s="233">
        <v>432422.38</v>
      </c>
      <c r="R13" s="233">
        <v>38154.92</v>
      </c>
      <c r="S13" s="233">
        <v>0</v>
      </c>
      <c r="T13" s="22"/>
      <c r="V13" s="38">
        <f>L13-M13-N13-O13</f>
        <v>0</v>
      </c>
    </row>
    <row r="14" spans="2:22" s="222" customFormat="1" ht="66.75" customHeight="1" x14ac:dyDescent="0.2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872</v>
      </c>
      <c r="H14" s="26">
        <f>'1 lentelė'!$P14</f>
        <v>1142588.6399999999</v>
      </c>
      <c r="I14" s="26">
        <f>'1 lentelė'!$Q14</f>
        <v>876544.37</v>
      </c>
      <c r="J14" s="26">
        <f>'1 lentelė'!$R14</f>
        <v>56523.41</v>
      </c>
      <c r="K14" s="26">
        <f>'1 lentelė'!$S14</f>
        <v>209520.8599999999</v>
      </c>
      <c r="L14" s="26">
        <v>1142603.75</v>
      </c>
      <c r="M14" s="26">
        <v>881242</v>
      </c>
      <c r="N14" s="26">
        <v>77757</v>
      </c>
      <c r="O14" s="26">
        <v>183604.75</v>
      </c>
      <c r="P14" s="83">
        <v>1142588.6399999999</v>
      </c>
      <c r="Q14" s="83">
        <v>876544.37</v>
      </c>
      <c r="R14" s="83">
        <v>56523.41</v>
      </c>
      <c r="S14" s="83">
        <v>209520.8599999999</v>
      </c>
      <c r="T14" s="12" t="s">
        <v>1506</v>
      </c>
      <c r="V14" s="40">
        <f t="shared" ref="V14:V27" si="2">L14-M14-N14-O14</f>
        <v>0</v>
      </c>
    </row>
    <row r="15" spans="2:22" s="222" customFormat="1" ht="78" customHeight="1" x14ac:dyDescent="0.2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872</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873</v>
      </c>
      <c r="V15" s="40">
        <f t="shared" si="2"/>
        <v>0</v>
      </c>
    </row>
    <row r="16" spans="2:22" s="6" customFormat="1" ht="64.5" customHeight="1" x14ac:dyDescent="0.2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1079</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1:37" s="211" customFormat="1" ht="114.75" customHeight="1" x14ac:dyDescent="0.2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872</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1174</v>
      </c>
      <c r="V17" s="6"/>
      <c r="Y17" s="6"/>
    </row>
    <row r="18" spans="1:37" s="27" customFormat="1" ht="66" customHeight="1" x14ac:dyDescent="0.2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1079</v>
      </c>
      <c r="H18" s="26">
        <f>'1 lentelė'!$P18</f>
        <v>342043.32</v>
      </c>
      <c r="I18" s="26">
        <f>'1 lentelė'!$Q18</f>
        <v>239999.57</v>
      </c>
      <c r="J18" s="26">
        <f>'1 lentelė'!$R18</f>
        <v>21176.43</v>
      </c>
      <c r="K18" s="26">
        <f>'1 lentelė'!$S18</f>
        <v>80867.320000000007</v>
      </c>
      <c r="L18" s="323">
        <v>342043.32</v>
      </c>
      <c r="M18" s="323">
        <v>239999.57</v>
      </c>
      <c r="N18" s="323">
        <v>21176.43</v>
      </c>
      <c r="O18" s="323">
        <f>L18-M18-N18</f>
        <v>80867.320000000007</v>
      </c>
      <c r="P18" s="26">
        <f t="shared" si="3"/>
        <v>157899.26999999999</v>
      </c>
      <c r="Q18" s="26">
        <v>127814.78</v>
      </c>
      <c r="R18" s="26">
        <v>11277.77</v>
      </c>
      <c r="S18" s="26">
        <v>18806.72</v>
      </c>
      <c r="T18" s="322"/>
      <c r="V18" s="40">
        <f t="shared" si="2"/>
        <v>0</v>
      </c>
    </row>
    <row r="19" spans="1:37" s="27" customFormat="1" ht="65.25" customHeight="1" x14ac:dyDescent="0.2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1079</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3">
        <f t="shared" si="3"/>
        <v>80000</v>
      </c>
      <c r="Q19" s="233">
        <v>73513.509999999995</v>
      </c>
      <c r="R19" s="233">
        <v>6486.49</v>
      </c>
      <c r="S19" s="233">
        <v>0</v>
      </c>
      <c r="T19" s="22"/>
      <c r="V19" s="38">
        <f t="shared" si="2"/>
        <v>0</v>
      </c>
    </row>
    <row r="20" spans="1:37" s="222" customFormat="1" ht="147" customHeight="1" x14ac:dyDescent="0.2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872</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1502</v>
      </c>
      <c r="V20" s="40">
        <f t="shared" si="2"/>
        <v>0</v>
      </c>
    </row>
    <row r="21" spans="1:37" s="222" customFormat="1" ht="63" customHeight="1" x14ac:dyDescent="0.2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1079</v>
      </c>
      <c r="H21" s="26">
        <f>'1 lentelė'!$P21</f>
        <v>1108787.51</v>
      </c>
      <c r="I21" s="26">
        <f>'1 lentelė'!$Q21</f>
        <v>700000</v>
      </c>
      <c r="J21" s="26">
        <f>'1 lentelė'!$R21</f>
        <v>61765</v>
      </c>
      <c r="K21" s="26">
        <f>'1 lentelė'!$S21</f>
        <v>347022.51</v>
      </c>
      <c r="L21" s="26">
        <v>1137262.6599999999</v>
      </c>
      <c r="M21" s="26">
        <v>700000</v>
      </c>
      <c r="N21" s="26">
        <v>61765</v>
      </c>
      <c r="O21" s="26">
        <v>375497.66</v>
      </c>
      <c r="P21" s="52">
        <f t="shared" si="3"/>
        <v>846485.89</v>
      </c>
      <c r="Q21" s="52">
        <v>565325.01</v>
      </c>
      <c r="R21" s="52">
        <v>49881.86</v>
      </c>
      <c r="S21" s="52">
        <v>231279.02</v>
      </c>
      <c r="T21" s="65"/>
      <c r="V21" s="40">
        <f t="shared" si="2"/>
        <v>0</v>
      </c>
    </row>
    <row r="22" spans="1:37" s="222" customFormat="1" ht="55.5" customHeight="1" x14ac:dyDescent="0.2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1079</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455881.92999999993</v>
      </c>
      <c r="Q22" s="26">
        <v>369541.41</v>
      </c>
      <c r="R22" s="26">
        <v>32606.61</v>
      </c>
      <c r="S22" s="26">
        <v>53733.91</v>
      </c>
      <c r="T22" s="65"/>
      <c r="V22" s="40">
        <f t="shared" si="2"/>
        <v>0</v>
      </c>
    </row>
    <row r="23" spans="1:37" s="27" customFormat="1" ht="89.25" customHeight="1" x14ac:dyDescent="0.2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1079</v>
      </c>
      <c r="H23" s="23">
        <f>'1 lentelė'!$P23</f>
        <v>332642.24</v>
      </c>
      <c r="I23" s="23">
        <f>'1 lentelė'!$Q23</f>
        <v>282745.90000000002</v>
      </c>
      <c r="J23" s="23">
        <f>'1 lentelė'!$R23</f>
        <v>24948.17</v>
      </c>
      <c r="K23" s="23">
        <f>'1 lentelė'!$S23</f>
        <v>24948.169999999969</v>
      </c>
      <c r="L23" s="23">
        <v>332642.24</v>
      </c>
      <c r="M23" s="23">
        <v>249671.21</v>
      </c>
      <c r="N23" s="23">
        <v>22029.81</v>
      </c>
      <c r="O23" s="23">
        <v>60941.22</v>
      </c>
      <c r="P23" s="235">
        <f t="shared" si="3"/>
        <v>11442.55</v>
      </c>
      <c r="Q23" s="235">
        <v>8588.43</v>
      </c>
      <c r="R23" s="235">
        <v>757.8</v>
      </c>
      <c r="S23" s="235">
        <v>2096.3200000000002</v>
      </c>
      <c r="T23" s="48"/>
      <c r="V23" s="38">
        <f t="shared" si="2"/>
        <v>0</v>
      </c>
    </row>
    <row r="24" spans="1:37" s="211" customFormat="1" ht="78.75" customHeight="1" x14ac:dyDescent="0.2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872</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1289</v>
      </c>
      <c r="V24" s="38">
        <f t="shared" si="2"/>
        <v>0</v>
      </c>
    </row>
    <row r="25" spans="1:37" s="222" customFormat="1" ht="86.25" customHeight="1" x14ac:dyDescent="0.2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1079</v>
      </c>
      <c r="H25" s="26">
        <f>'1 lentelė'!$P25</f>
        <v>491841.82</v>
      </c>
      <c r="I25" s="26">
        <f>'1 lentelė'!$Q25</f>
        <v>323702.96999999997</v>
      </c>
      <c r="J25" s="26">
        <f>'1 lentelė'!$R25</f>
        <v>28562.03</v>
      </c>
      <c r="K25" s="26">
        <f>'1 lentelė'!$S25</f>
        <v>139576.82000000004</v>
      </c>
      <c r="L25" s="26">
        <f>M25+N25+O25</f>
        <v>530184.80000000005</v>
      </c>
      <c r="M25" s="26">
        <v>323702.96999999997</v>
      </c>
      <c r="N25" s="26">
        <v>28562.03</v>
      </c>
      <c r="O25" s="26">
        <v>177919.8</v>
      </c>
      <c r="P25" s="26">
        <f t="shared" si="3"/>
        <v>186980.22</v>
      </c>
      <c r="Q25" s="26">
        <v>146748.84</v>
      </c>
      <c r="R25" s="26">
        <v>12948.43</v>
      </c>
      <c r="S25" s="26">
        <v>27282.95</v>
      </c>
      <c r="T25" s="65"/>
      <c r="V25" s="40">
        <f t="shared" si="2"/>
        <v>0</v>
      </c>
    </row>
    <row r="26" spans="1:37" s="222" customFormat="1" ht="63.75" customHeight="1" x14ac:dyDescent="0.2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23" t="s">
        <v>872</v>
      </c>
      <c r="H26" s="323">
        <f>'1 lentelė'!$P26</f>
        <v>511945.15</v>
      </c>
      <c r="I26" s="323">
        <f>'1 lentelė'!$Q26</f>
        <v>435153.38</v>
      </c>
      <c r="J26" s="323">
        <f>'1 lentelė'!$R26</f>
        <v>38395.89</v>
      </c>
      <c r="K26" s="323">
        <f>'1 lentelė'!$S26</f>
        <v>38395.879999999997</v>
      </c>
      <c r="L26" s="26">
        <v>518360.92000000004</v>
      </c>
      <c r="M26" s="26">
        <v>440606.78</v>
      </c>
      <c r="N26" s="26">
        <v>38877.07</v>
      </c>
      <c r="O26" s="26">
        <v>38877.07</v>
      </c>
      <c r="P26" s="26">
        <f t="shared" si="3"/>
        <v>511945.15</v>
      </c>
      <c r="Q26" s="26">
        <v>435153.38</v>
      </c>
      <c r="R26" s="26">
        <v>38395.89</v>
      </c>
      <c r="S26" s="26">
        <v>38395.879999999997</v>
      </c>
      <c r="T26" s="26" t="s">
        <v>1445</v>
      </c>
      <c r="V26" s="40">
        <f t="shared" si="2"/>
        <v>0</v>
      </c>
    </row>
    <row r="27" spans="1:37" s="222" customFormat="1" ht="63.75" customHeight="1" x14ac:dyDescent="0.2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23" t="s">
        <v>66</v>
      </c>
      <c r="H27" s="323">
        <f>'1 lentelė'!P27</f>
        <v>400000</v>
      </c>
      <c r="I27" s="323">
        <f>'1 lentelė'!Q27</f>
        <v>290000</v>
      </c>
      <c r="J27" s="323">
        <f>'1 lentelė'!R27</f>
        <v>25588.240000000002</v>
      </c>
      <c r="K27" s="323">
        <f>'1 lentelė'!S27</f>
        <v>84411.76</v>
      </c>
      <c r="L27" s="26">
        <v>0</v>
      </c>
      <c r="M27" s="26">
        <v>0</v>
      </c>
      <c r="N27" s="26">
        <v>0</v>
      </c>
      <c r="O27" s="26">
        <v>0</v>
      </c>
      <c r="P27" s="26">
        <v>0</v>
      </c>
      <c r="Q27" s="26">
        <v>0</v>
      </c>
      <c r="R27" s="26">
        <v>0</v>
      </c>
      <c r="S27" s="26">
        <v>0</v>
      </c>
      <c r="T27" s="26"/>
      <c r="V27" s="40">
        <f t="shared" si="2"/>
        <v>0</v>
      </c>
    </row>
    <row r="28" spans="1:37" s="222" customFormat="1" ht="63.75" customHeight="1" x14ac:dyDescent="0.2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23" t="s">
        <v>66</v>
      </c>
      <c r="H28" s="323">
        <f>'1 lentelė'!P28</f>
        <v>350000</v>
      </c>
      <c r="I28" s="323">
        <f>'1 lentelė'!Q28</f>
        <v>253750</v>
      </c>
      <c r="J28" s="323">
        <f>'1 lentelė'!R28</f>
        <v>22389.71</v>
      </c>
      <c r="K28" s="323">
        <f>'1 lentelė'!S28</f>
        <v>73860.289999999994</v>
      </c>
      <c r="L28" s="26">
        <v>0</v>
      </c>
      <c r="M28" s="26">
        <v>0</v>
      </c>
      <c r="N28" s="26">
        <v>0</v>
      </c>
      <c r="O28" s="26">
        <v>0</v>
      </c>
      <c r="P28" s="26">
        <v>0</v>
      </c>
      <c r="Q28" s="26">
        <v>0</v>
      </c>
      <c r="R28" s="26">
        <v>0</v>
      </c>
      <c r="S28" s="26">
        <v>0</v>
      </c>
      <c r="T28" s="26"/>
      <c r="V28" s="40"/>
    </row>
    <row r="29" spans="1:37" s="222" customFormat="1" ht="63.75" customHeight="1" x14ac:dyDescent="0.2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23" t="s">
        <v>66</v>
      </c>
      <c r="H29" s="323">
        <f>'1 lentelė'!P29</f>
        <v>2400000</v>
      </c>
      <c r="I29" s="323">
        <f>'1 lentelė'!Q29</f>
        <v>1740000</v>
      </c>
      <c r="J29" s="323">
        <f>'1 lentelė'!R29</f>
        <v>153529.42000000001</v>
      </c>
      <c r="K29" s="323">
        <f>'1 lentelė'!S29</f>
        <v>506470.58</v>
      </c>
      <c r="L29" s="26">
        <v>0</v>
      </c>
      <c r="M29" s="26">
        <v>0</v>
      </c>
      <c r="N29" s="26">
        <v>0</v>
      </c>
      <c r="O29" s="26">
        <v>0</v>
      </c>
      <c r="P29" s="26">
        <v>0</v>
      </c>
      <c r="Q29" s="26">
        <v>0</v>
      </c>
      <c r="R29" s="26">
        <v>0</v>
      </c>
      <c r="S29" s="26">
        <v>0</v>
      </c>
      <c r="T29" s="26"/>
      <c r="V29" s="40"/>
    </row>
    <row r="30" spans="1:37" s="222" customFormat="1" ht="63.75" customHeight="1" x14ac:dyDescent="0.2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23" t="s">
        <v>66</v>
      </c>
      <c r="H30" s="323">
        <f>'1 lentelė'!P30</f>
        <v>250000</v>
      </c>
      <c r="I30" s="323">
        <f>'1 lentelė'!Q30</f>
        <v>181250</v>
      </c>
      <c r="J30" s="323">
        <f>'1 lentelė'!R30</f>
        <v>15992.65</v>
      </c>
      <c r="K30" s="323">
        <f>'1 lentelė'!S30</f>
        <v>52757.35</v>
      </c>
      <c r="L30" s="26">
        <v>0</v>
      </c>
      <c r="M30" s="26">
        <v>0</v>
      </c>
      <c r="N30" s="26">
        <v>0</v>
      </c>
      <c r="O30" s="26">
        <v>0</v>
      </c>
      <c r="P30" s="26">
        <v>0</v>
      </c>
      <c r="Q30" s="26">
        <v>0</v>
      </c>
      <c r="R30" s="26">
        <v>0</v>
      </c>
      <c r="S30" s="26">
        <v>0</v>
      </c>
      <c r="T30" s="26"/>
      <c r="V30" s="40"/>
    </row>
    <row r="31" spans="1:37" s="6" customFormat="1" ht="83.25" customHeight="1" x14ac:dyDescent="0.25">
      <c r="B31" s="44" t="str">
        <f>'1 lentelė'!$B32</f>
        <v>1.1.1.2</v>
      </c>
      <c r="C31" s="232" t="s">
        <v>1168</v>
      </c>
      <c r="D31" s="76" t="str">
        <f>'1 lentelė'!$D32</f>
        <v>Priemonė: Pereinamojo laikotarpio tikslinių teritorijų vystymas</v>
      </c>
      <c r="E31" s="44"/>
      <c r="F31" s="44"/>
      <c r="G31" s="44"/>
      <c r="H31" s="263">
        <f>SUM(H32:H34)</f>
        <v>4344260.07</v>
      </c>
      <c r="I31" s="263">
        <f t="shared" ref="I31:S31" si="5">SUM(I32:I34)</f>
        <v>3441264.61</v>
      </c>
      <c r="J31" s="263">
        <f t="shared" si="5"/>
        <v>303639.82</v>
      </c>
      <c r="K31" s="263">
        <f t="shared" si="5"/>
        <v>599355.6399999999</v>
      </c>
      <c r="L31" s="263">
        <f t="shared" si="5"/>
        <v>4344260.0999999996</v>
      </c>
      <c r="M31" s="263">
        <f t="shared" si="5"/>
        <v>3441264.63</v>
      </c>
      <c r="N31" s="263">
        <f t="shared" si="5"/>
        <v>303639.82</v>
      </c>
      <c r="O31" s="263">
        <f t="shared" si="5"/>
        <v>599355.65</v>
      </c>
      <c r="P31" s="263">
        <f t="shared" si="5"/>
        <v>3878897.9699999997</v>
      </c>
      <c r="Q31" s="263">
        <f t="shared" si="5"/>
        <v>3127727.69</v>
      </c>
      <c r="R31" s="263">
        <f t="shared" si="5"/>
        <v>276021.83999999997</v>
      </c>
      <c r="S31" s="263">
        <f t="shared" si="5"/>
        <v>475148.44000000006</v>
      </c>
      <c r="T31" s="29"/>
      <c r="U31" s="222"/>
      <c r="V31" s="40">
        <f t="shared" ref="V31:V33" si="6">L31-M31-N31-O31</f>
        <v>0</v>
      </c>
      <c r="W31" s="222"/>
      <c r="X31" s="40"/>
      <c r="Y31" s="40"/>
      <c r="Z31" s="40"/>
      <c r="AA31" s="40"/>
      <c r="AB31" s="40"/>
      <c r="AC31" s="40"/>
      <c r="AD31" s="40"/>
      <c r="AE31" s="40"/>
      <c r="AF31" s="40"/>
      <c r="AG31" s="40"/>
      <c r="AH31" s="40"/>
      <c r="AI31" s="40"/>
      <c r="AJ31" s="40"/>
      <c r="AK31" s="40"/>
    </row>
    <row r="32" spans="1:37" s="223" customFormat="1" ht="66.75" customHeight="1" x14ac:dyDescent="0.25">
      <c r="A32" s="227"/>
      <c r="B32" s="12" t="str">
        <f>'1 lentelė'!$B33</f>
        <v>1.1.1.2.1</v>
      </c>
      <c r="C32" s="208" t="str">
        <f>'1 lentelė'!$C33</f>
        <v>R099903-300000-1115</v>
      </c>
      <c r="D32" s="208" t="str">
        <f>'1 lentelė'!$D33</f>
        <v xml:space="preserve">Daugiabučių namų kvartalų Ignalinos mieste kompleksinis sutvarkymas </v>
      </c>
      <c r="E32" s="208" t="str">
        <f>'1 lentelė'!$E33</f>
        <v>Ignalinos rajono savivaldybės administracija</v>
      </c>
      <c r="F32" s="201" t="s">
        <v>65</v>
      </c>
      <c r="G32" s="201" t="s">
        <v>872</v>
      </c>
      <c r="H32" s="201">
        <f>'1 lentelė'!$P33</f>
        <v>280999.21000000002</v>
      </c>
      <c r="I32" s="201">
        <f>'1 lentelė'!$Q33</f>
        <v>238849.32</v>
      </c>
      <c r="J32" s="201">
        <f>'1 lentelė'!$R33</f>
        <v>21074.94</v>
      </c>
      <c r="K32" s="201">
        <f>'1 lentelė'!$S33</f>
        <v>21074.950000000015</v>
      </c>
      <c r="L32" s="201">
        <v>280999.21000000002</v>
      </c>
      <c r="M32" s="201">
        <v>238849.32</v>
      </c>
      <c r="N32" s="201">
        <v>21074.94</v>
      </c>
      <c r="O32" s="201">
        <v>21074.95</v>
      </c>
      <c r="P32" s="201">
        <v>280999.21000000002</v>
      </c>
      <c r="Q32" s="201">
        <v>238849.32</v>
      </c>
      <c r="R32" s="201">
        <v>21074.94</v>
      </c>
      <c r="S32" s="201">
        <v>21074.95</v>
      </c>
      <c r="T32" s="201" t="s">
        <v>874</v>
      </c>
      <c r="U32" s="222"/>
      <c r="V32" s="40">
        <f t="shared" si="6"/>
        <v>0</v>
      </c>
      <c r="W32" s="222"/>
      <c r="X32" s="40"/>
      <c r="Y32" s="40"/>
      <c r="Z32" s="40"/>
      <c r="AA32" s="40"/>
      <c r="AB32" s="40"/>
      <c r="AC32" s="40"/>
      <c r="AD32" s="40"/>
      <c r="AE32" s="40"/>
      <c r="AF32" s="40"/>
      <c r="AG32" s="40"/>
      <c r="AH32" s="40"/>
      <c r="AI32" s="40"/>
      <c r="AJ32" s="40"/>
      <c r="AK32" s="40"/>
    </row>
    <row r="33" spans="2:37" s="6" customFormat="1" ht="103.5" customHeight="1" x14ac:dyDescent="0.25">
      <c r="B33" s="12" t="str">
        <f>'1 lentelė'!$B34</f>
        <v>1.1.1.2.2</v>
      </c>
      <c r="C33" s="12" t="str">
        <f>'1 lentelė'!$C34</f>
        <v>R099902-310000-1116</v>
      </c>
      <c r="D33" s="12" t="str">
        <f>'1 lentelė'!$D34</f>
        <v xml:space="preserve">Apleistų/avarinių pastatų nugriovimas ir teritorijos valymas, regeneruojant buvusį karinį miestelį </v>
      </c>
      <c r="E33" s="12" t="str">
        <f>'1 lentelė'!$E34</f>
        <v>Visagino savivaldybės administracija</v>
      </c>
      <c r="F33" s="23" t="s">
        <v>65</v>
      </c>
      <c r="G33" s="23" t="s">
        <v>1079</v>
      </c>
      <c r="H33" s="23">
        <f>'1 lentelė'!$P34</f>
        <v>2967711.21</v>
      </c>
      <c r="I33" s="23">
        <f>'1 lentelė'!$Q34</f>
        <v>2333555.31</v>
      </c>
      <c r="J33" s="23">
        <f>'1 lentelė'!$R34</f>
        <v>205900.88</v>
      </c>
      <c r="K33" s="23">
        <f>'1 lentelė'!$S34</f>
        <v>428255.0199999999</v>
      </c>
      <c r="L33" s="23">
        <v>2967711.21</v>
      </c>
      <c r="M33" s="23">
        <v>2333555.31</v>
      </c>
      <c r="N33" s="23">
        <v>205900.88</v>
      </c>
      <c r="O33" s="23">
        <v>428255.02</v>
      </c>
      <c r="P33" s="201">
        <f>Q33+R33+S33</f>
        <v>2502349.11</v>
      </c>
      <c r="Q33" s="201">
        <v>2020018.39</v>
      </c>
      <c r="R33" s="201">
        <v>178282.9</v>
      </c>
      <c r="S33" s="201">
        <v>304047.82</v>
      </c>
      <c r="T33" s="201"/>
      <c r="U33" s="222"/>
      <c r="V33" s="40">
        <f t="shared" si="6"/>
        <v>0</v>
      </c>
      <c r="W33" s="222"/>
      <c r="X33" s="40"/>
      <c r="Y33" s="40"/>
      <c r="Z33" s="40"/>
      <c r="AA33" s="40"/>
      <c r="AB33" s="40"/>
      <c r="AC33" s="40"/>
      <c r="AD33" s="40"/>
      <c r="AE33" s="40"/>
      <c r="AF33" s="40"/>
      <c r="AG33" s="40"/>
      <c r="AH33" s="40"/>
      <c r="AI33" s="40"/>
      <c r="AJ33" s="40"/>
      <c r="AK33" s="40"/>
    </row>
    <row r="34" spans="2:37" s="6" customFormat="1" ht="63.75" customHeight="1" x14ac:dyDescent="0.25">
      <c r="B34" s="12" t="str">
        <f>'1 lentelė'!$B35</f>
        <v>1.1.1.2.3</v>
      </c>
      <c r="C34" s="12" t="str">
        <f>'1 lentelė'!$C35</f>
        <v>R099902-300000-1117</v>
      </c>
      <c r="D34" s="12" t="str">
        <f>'1 lentelė'!$D35</f>
        <v xml:space="preserve">Dauniškio daugiabučių namų kvartalo teritorijos sutvarkymas </v>
      </c>
      <c r="E34" s="12" t="str">
        <f>'1 lentelė'!$E35</f>
        <v>Utenos rajono savivaldybės administracija</v>
      </c>
      <c r="F34" s="23" t="s">
        <v>65</v>
      </c>
      <c r="G34" s="23" t="s">
        <v>872</v>
      </c>
      <c r="H34" s="23">
        <f>'1 lentelė'!$P35</f>
        <v>1095549.6499999999</v>
      </c>
      <c r="I34" s="23">
        <f>'1 lentelė'!$Q35</f>
        <v>868859.98</v>
      </c>
      <c r="J34" s="23">
        <f>'1 lentelė'!$R35</f>
        <v>76664</v>
      </c>
      <c r="K34" s="23">
        <f>'1 lentelė'!$S35</f>
        <v>150025.66999999993</v>
      </c>
      <c r="L34" s="23">
        <v>1095549.68</v>
      </c>
      <c r="M34" s="23">
        <v>868860</v>
      </c>
      <c r="N34" s="23">
        <v>76664</v>
      </c>
      <c r="O34" s="23">
        <v>150025.68</v>
      </c>
      <c r="P34" s="23">
        <v>1095549.6499999999</v>
      </c>
      <c r="Q34" s="23">
        <v>868859.98</v>
      </c>
      <c r="R34" s="23">
        <v>76664</v>
      </c>
      <c r="S34" s="23">
        <v>150025.67000000001</v>
      </c>
      <c r="T34" s="23" t="s">
        <v>875</v>
      </c>
      <c r="V34" s="174"/>
    </row>
    <row r="35" spans="2:37" s="6" customFormat="1" ht="199.5" customHeight="1" x14ac:dyDescent="0.25">
      <c r="B35" s="42" t="str">
        <f>'1 lentelė'!$B36</f>
        <v xml:space="preserve">1.1.2 </v>
      </c>
      <c r="C35" s="42"/>
      <c r="D35" s="42" t="str">
        <f>'1 lentelė'!$D36</f>
        <v>Uždavinys: Kompleksiškai atnaujinti 1-6 tūkst. gyventojų turinčių miestų (išskyrus savivaldybių centrus), miestelių ir kaimų bendruomeninę ir viešąją infrastruktūrą</v>
      </c>
      <c r="E35" s="42"/>
      <c r="F35" s="42"/>
      <c r="G35" s="42"/>
      <c r="H35" s="42"/>
      <c r="I35" s="42"/>
      <c r="J35" s="42"/>
      <c r="K35" s="42"/>
      <c r="L35" s="43"/>
      <c r="M35" s="43"/>
      <c r="N35" s="43"/>
      <c r="O35" s="43"/>
      <c r="P35" s="43"/>
      <c r="Q35" s="43"/>
      <c r="R35" s="43"/>
      <c r="S35" s="43"/>
      <c r="T35" s="19"/>
    </row>
    <row r="36" spans="2:37" s="6" customFormat="1" ht="69" customHeight="1" x14ac:dyDescent="0.25">
      <c r="B36" s="44" t="str">
        <f>'1 lentelė'!$B37</f>
        <v>1.1.2.1</v>
      </c>
      <c r="C36" s="232" t="s">
        <v>163</v>
      </c>
      <c r="D36" s="76" t="str">
        <f>'1 lentelė'!$D37</f>
        <v>Priemonė: Kaimo gyvenamųjų vietovių atnaujinimas</v>
      </c>
      <c r="E36" s="44"/>
      <c r="F36" s="44"/>
      <c r="G36" s="44"/>
      <c r="H36" s="263">
        <f>SUM(H37)</f>
        <v>895999.62</v>
      </c>
      <c r="I36" s="263">
        <f t="shared" ref="I36:S36" si="7">SUM(I37)</f>
        <v>761599.68</v>
      </c>
      <c r="J36" s="263">
        <f t="shared" si="7"/>
        <v>89599.96</v>
      </c>
      <c r="K36" s="263">
        <f t="shared" si="7"/>
        <v>44799.979999999938</v>
      </c>
      <c r="L36" s="263">
        <f t="shared" si="7"/>
        <v>904720</v>
      </c>
      <c r="M36" s="263">
        <f t="shared" si="7"/>
        <v>769012</v>
      </c>
      <c r="N36" s="263">
        <f t="shared" si="7"/>
        <v>90472</v>
      </c>
      <c r="O36" s="263">
        <f t="shared" si="7"/>
        <v>45236</v>
      </c>
      <c r="P36" s="263">
        <f t="shared" si="7"/>
        <v>895999.62</v>
      </c>
      <c r="Q36" s="263">
        <f t="shared" si="7"/>
        <v>761599.68</v>
      </c>
      <c r="R36" s="263">
        <f t="shared" si="7"/>
        <v>89599.96</v>
      </c>
      <c r="S36" s="263">
        <f t="shared" si="7"/>
        <v>44799.98</v>
      </c>
      <c r="T36" s="29"/>
    </row>
    <row r="37" spans="2:37" s="223" customFormat="1" ht="117.75" customHeight="1" x14ac:dyDescent="0.25">
      <c r="B37" s="12" t="str">
        <f>'1 lentelė'!$B38</f>
        <v>1.1.2.1.1</v>
      </c>
      <c r="C37" s="208" t="str">
        <f>'1 lentelė'!$C38</f>
        <v xml:space="preserve"> R099908-293300-1118</v>
      </c>
      <c r="D37" s="208" t="str">
        <f>'1 lentelė'!$D38</f>
        <v>Didžiasalio kaimo viešųjų erdvių atnaujinimas ir pastato dalies patalpų pritaikymas bendruomenės poreikiams</v>
      </c>
      <c r="E37" s="208" t="str">
        <f>'1 lentelė'!$E38</f>
        <v>Ignalinos rajono savivaldybės administracija</v>
      </c>
      <c r="F37" s="201" t="s">
        <v>87</v>
      </c>
      <c r="G37" s="201" t="s">
        <v>872</v>
      </c>
      <c r="H37" s="201">
        <f>'1 lentelė'!$P38</f>
        <v>895999.62</v>
      </c>
      <c r="I37" s="201">
        <f>'1 lentelė'!$Q38</f>
        <v>761599.68</v>
      </c>
      <c r="J37" s="201">
        <f>'1 lentelė'!$R38</f>
        <v>89599.96</v>
      </c>
      <c r="K37" s="201">
        <f>'1 lentelė'!$S38</f>
        <v>44799.979999999938</v>
      </c>
      <c r="L37" s="201">
        <v>904720</v>
      </c>
      <c r="M37" s="201">
        <v>769012</v>
      </c>
      <c r="N37" s="201">
        <v>90472</v>
      </c>
      <c r="O37" s="201">
        <v>45236</v>
      </c>
      <c r="P37" s="201">
        <v>895999.62</v>
      </c>
      <c r="Q37" s="201">
        <v>761599.68</v>
      </c>
      <c r="R37" s="201">
        <v>89599.96</v>
      </c>
      <c r="S37" s="201">
        <v>44799.98</v>
      </c>
      <c r="T37" s="201" t="s">
        <v>1507</v>
      </c>
    </row>
    <row r="38" spans="2:37" s="6" customFormat="1" ht="222.7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42"/>
      <c r="G38" s="42"/>
      <c r="H38" s="42"/>
      <c r="I38" s="42"/>
      <c r="J38" s="42"/>
      <c r="K38" s="42"/>
      <c r="L38" s="42"/>
      <c r="M38" s="42"/>
      <c r="N38" s="42"/>
      <c r="O38" s="42"/>
      <c r="P38" s="42"/>
      <c r="Q38" s="42"/>
      <c r="R38" s="42"/>
      <c r="S38" s="42"/>
      <c r="T38" s="20"/>
    </row>
    <row r="39" spans="2:37" s="6" customFormat="1" ht="125.25" customHeight="1" x14ac:dyDescent="0.25">
      <c r="B39" s="44" t="str">
        <f>'1 lentelė'!$B40</f>
        <v xml:space="preserve">1.1.3.1 </v>
      </c>
      <c r="C39" s="44"/>
      <c r="D39" s="76" t="str">
        <f>'1 lentelė'!$D40</f>
        <v>Priemonė (KPP veiklos sritis): Parama investicijoms į visų rūšių mažos apimties infrastruktūrą</v>
      </c>
      <c r="E39" s="44"/>
      <c r="F39" s="44"/>
      <c r="G39" s="44"/>
      <c r="H39" s="330">
        <f>H40</f>
        <v>4165059</v>
      </c>
      <c r="I39" s="330">
        <f t="shared" ref="I39:S39" si="8">I40</f>
        <v>3540300.15</v>
      </c>
      <c r="J39" s="330">
        <f t="shared" si="8"/>
        <v>624758.85000000009</v>
      </c>
      <c r="K39" s="330">
        <f t="shared" si="8"/>
        <v>0</v>
      </c>
      <c r="L39" s="330">
        <f t="shared" si="8"/>
        <v>3980489</v>
      </c>
      <c r="M39" s="330">
        <f t="shared" si="8"/>
        <v>3383415.65</v>
      </c>
      <c r="N39" s="330">
        <f t="shared" si="8"/>
        <v>597073.35000000009</v>
      </c>
      <c r="O39" s="330">
        <f t="shared" si="8"/>
        <v>0</v>
      </c>
      <c r="P39" s="330">
        <f t="shared" si="8"/>
        <v>3083822.29</v>
      </c>
      <c r="Q39" s="330">
        <f t="shared" si="8"/>
        <v>2621248.9465000001</v>
      </c>
      <c r="R39" s="330">
        <f t="shared" si="8"/>
        <v>462573.34349999996</v>
      </c>
      <c r="S39" s="330">
        <f t="shared" si="8"/>
        <v>0</v>
      </c>
      <c r="T39" s="330"/>
    </row>
    <row r="40" spans="2:37" s="6" customFormat="1" ht="81.75" customHeight="1" x14ac:dyDescent="0.25">
      <c r="B40" s="26" t="str">
        <f>'1 lentelė'!B41</f>
        <v>1.1.3.1.-1.1.3.28</v>
      </c>
      <c r="C40" s="26"/>
      <c r="D40" s="323" t="str">
        <f>'1 lentelė'!D41</f>
        <v>Pagrindinės paslaugos ir kaimų atnaujinimas kaimo vietovėse</v>
      </c>
      <c r="E40" s="323" t="str">
        <f>'1 lentelė'!E41</f>
        <v>Utenos apskrities savivaldybių administracijos</v>
      </c>
      <c r="F40" s="26" t="str">
        <f>'1 lentelė'!J41</f>
        <v>-</v>
      </c>
      <c r="G40" s="26" t="s">
        <v>1468</v>
      </c>
      <c r="H40" s="26">
        <f>'1 lentelė'!P41</f>
        <v>4165059</v>
      </c>
      <c r="I40" s="26">
        <f>'1 lentelė'!Q41</f>
        <v>3540300.15</v>
      </c>
      <c r="J40" s="26">
        <f>'1 lentelė'!R41</f>
        <v>624758.85000000009</v>
      </c>
      <c r="K40" s="26">
        <f>'1 lentelė'!S41</f>
        <v>0</v>
      </c>
      <c r="L40" s="26">
        <v>3980489</v>
      </c>
      <c r="M40" s="26">
        <v>3383415.65</v>
      </c>
      <c r="N40" s="26">
        <f>L40-M40</f>
        <v>597073.35000000009</v>
      </c>
      <c r="O40" s="26">
        <f>L40-M40-N40</f>
        <v>0</v>
      </c>
      <c r="P40" s="26">
        <v>3083822.29</v>
      </c>
      <c r="Q40" s="47">
        <f>P40*0.85</f>
        <v>2621248.9465000001</v>
      </c>
      <c r="R40" s="47">
        <f>P40-Q40</f>
        <v>462573.34349999996</v>
      </c>
      <c r="S40" s="72">
        <f>P40-Q40-R40</f>
        <v>0</v>
      </c>
      <c r="T40" s="29"/>
    </row>
    <row r="41" spans="2:37" s="6" customFormat="1" ht="142.5" customHeight="1" x14ac:dyDescent="0.25">
      <c r="B41" s="44" t="str">
        <f>'1 lentelė'!$B42</f>
        <v>1.1.3.2</v>
      </c>
      <c r="C41" s="44"/>
      <c r="D41" s="76" t="str">
        <f>'1 lentelė'!$D42</f>
        <v>Priemonė (KPP veiklos sritis): Parama investicijoms į kaimo kultūros ir gamtos paveldą, kraštovaizdį</v>
      </c>
      <c r="E41" s="44"/>
      <c r="F41" s="44"/>
      <c r="G41" s="44"/>
      <c r="H41" s="44"/>
      <c r="I41" s="44"/>
      <c r="J41" s="44"/>
      <c r="K41" s="44"/>
      <c r="L41" s="44"/>
      <c r="M41" s="44"/>
      <c r="N41" s="44"/>
      <c r="O41" s="44"/>
      <c r="P41" s="44"/>
      <c r="Q41" s="44"/>
      <c r="R41" s="44"/>
      <c r="S41" s="44"/>
      <c r="T41" s="21"/>
    </row>
    <row r="42" spans="2:37" s="6" customFormat="1" ht="104.25" customHeight="1" x14ac:dyDescent="0.25">
      <c r="B42" s="45" t="str">
        <f>'1 lentelė'!$B43</f>
        <v xml:space="preserve">1.2 </v>
      </c>
      <c r="C42" s="45"/>
      <c r="D42" s="45" t="str">
        <f>'1 lentelė'!$D43</f>
        <v>Tikslas: Modernios regiono transporto infrastruktūros ir darnaus judumo plėtojimas</v>
      </c>
      <c r="E42" s="45"/>
      <c r="F42" s="45"/>
      <c r="G42" s="45"/>
      <c r="H42" s="45"/>
      <c r="I42" s="45"/>
      <c r="J42" s="45"/>
      <c r="K42" s="45"/>
      <c r="L42" s="45"/>
      <c r="M42" s="45"/>
      <c r="N42" s="45"/>
      <c r="O42" s="45"/>
      <c r="P42" s="45"/>
      <c r="Q42" s="45"/>
      <c r="R42" s="45"/>
      <c r="S42" s="45"/>
      <c r="T42" s="18"/>
    </row>
    <row r="43" spans="2:37" s="6" customFormat="1" ht="81.75" customHeight="1" x14ac:dyDescent="0.25">
      <c r="B43" s="42" t="str">
        <f>'1 lentelė'!$B44</f>
        <v xml:space="preserve">1.2.1 </v>
      </c>
      <c r="C43" s="42"/>
      <c r="D43" s="42" t="str">
        <f>'1 lentelė'!$D44</f>
        <v>Uždavinys: Kompleksiškai modernizuoti kelių transporto infrastruktūrą</v>
      </c>
      <c r="E43" s="42"/>
      <c r="F43" s="42"/>
      <c r="G43" s="42"/>
      <c r="H43" s="42"/>
      <c r="I43" s="42"/>
      <c r="J43" s="42"/>
      <c r="K43" s="42"/>
      <c r="L43" s="42"/>
      <c r="M43" s="42"/>
      <c r="N43" s="42"/>
      <c r="O43" s="42"/>
      <c r="P43" s="42"/>
      <c r="Q43" s="42"/>
      <c r="R43" s="42"/>
      <c r="S43" s="42"/>
      <c r="T43" s="20"/>
    </row>
    <row r="44" spans="2:37" s="6" customFormat="1" ht="43.5" customHeight="1" x14ac:dyDescent="0.25">
      <c r="B44" s="44" t="str">
        <f>'1 lentelė'!$B45</f>
        <v>1.2.1.1</v>
      </c>
      <c r="C44" s="232" t="s">
        <v>181</v>
      </c>
      <c r="D44" s="76" t="str">
        <f>'1 lentelė'!$D45</f>
        <v>Priemonė:Vietinių kelių vystymas</v>
      </c>
      <c r="E44" s="44"/>
      <c r="F44" s="44"/>
      <c r="G44" s="44"/>
      <c r="H44" s="263">
        <f>SUM(H45:H57)</f>
        <v>5422592.1699999999</v>
      </c>
      <c r="I44" s="263">
        <f>SUM(I45:I57)</f>
        <v>3989669.44</v>
      </c>
      <c r="J44" s="263">
        <f>SUM(J45:J57)</f>
        <v>0</v>
      </c>
      <c r="K44" s="263">
        <f>SUM(K45:K57)</f>
        <v>1432922.7299999997</v>
      </c>
      <c r="L44" s="263">
        <f>SUM(L45:L57)</f>
        <v>4758237.4399999995</v>
      </c>
      <c r="M44" s="263">
        <f t="shared" ref="M44:S44" si="9">SUM(M45:M57)</f>
        <v>3462748.9799999995</v>
      </c>
      <c r="N44" s="263">
        <f t="shared" si="9"/>
        <v>0</v>
      </c>
      <c r="O44" s="263">
        <f t="shared" si="9"/>
        <v>1216130.71</v>
      </c>
      <c r="P44" s="263">
        <f t="shared" si="9"/>
        <v>3759659.7199999997</v>
      </c>
      <c r="Q44" s="263">
        <f t="shared" si="9"/>
        <v>2702228.03</v>
      </c>
      <c r="R44" s="263">
        <f t="shared" si="9"/>
        <v>0</v>
      </c>
      <c r="S44" s="263">
        <f t="shared" si="9"/>
        <v>1057431.69</v>
      </c>
      <c r="T44" s="29"/>
    </row>
    <row r="45" spans="2:37" s="222" customFormat="1" ht="90" customHeight="1" x14ac:dyDescent="0.25">
      <c r="B45" s="12" t="str">
        <f>'1 lentelė'!$B46</f>
        <v>1.2.1.1.1</v>
      </c>
      <c r="C45" s="12" t="str">
        <f>'1 lentelė'!$C46</f>
        <v>R095511-110000-1201</v>
      </c>
      <c r="D45" s="12" t="str">
        <f>'1 lentelė'!$D46</f>
        <v>Gatvės Ignalinos miesto rekreacinėje zonoje tarp Gavio ežero ir Turistų gatvės įrengimas</v>
      </c>
      <c r="E45" s="12" t="str">
        <f>'1 lentelė'!$E46</f>
        <v>Ignalinos rajono savivaldybės administracija</v>
      </c>
      <c r="F45" s="29" t="s">
        <v>65</v>
      </c>
      <c r="G45" s="29" t="s">
        <v>1079</v>
      </c>
      <c r="H45" s="26">
        <f>'1 lentelė'!$P46</f>
        <v>338553.02</v>
      </c>
      <c r="I45" s="26">
        <f>'1 lentelė'!$Q46</f>
        <v>287770.06</v>
      </c>
      <c r="J45" s="26">
        <f>'1 lentelė'!$R46</f>
        <v>0</v>
      </c>
      <c r="K45" s="26">
        <f>'1 lentelė'!$S46</f>
        <v>50782.960000000021</v>
      </c>
      <c r="L45" s="47">
        <v>338553.02</v>
      </c>
      <c r="M45" s="47">
        <v>287770.06</v>
      </c>
      <c r="N45" s="72">
        <v>0</v>
      </c>
      <c r="O45" s="47">
        <v>50782.96</v>
      </c>
      <c r="P45" s="47">
        <v>315268.95</v>
      </c>
      <c r="Q45" s="47">
        <v>267978.59999999998</v>
      </c>
      <c r="R45" s="47">
        <v>0</v>
      </c>
      <c r="S45" s="47">
        <f>P45-Q45</f>
        <v>47290.350000000035</v>
      </c>
      <c r="T45" s="47"/>
      <c r="W45" s="224"/>
      <c r="X45" s="225"/>
      <c r="Y45" s="225"/>
      <c r="Z45" s="226"/>
    </row>
    <row r="46" spans="2:37" s="6" customFormat="1" ht="42.75" customHeight="1" x14ac:dyDescent="0.25">
      <c r="B46" s="12" t="str">
        <f>'1 lentelė'!$B47</f>
        <v xml:space="preserve">1.2.1.1.2 </v>
      </c>
      <c r="C46" s="12" t="str">
        <f>'1 lentelė'!$C47</f>
        <v>R095511-120000-1202</v>
      </c>
      <c r="D46" s="12" t="str">
        <f>'1 lentelė'!$D47</f>
        <v>Zarasų gatvės rekonstrukcija Zarasų mieste</v>
      </c>
      <c r="E46" s="12" t="str">
        <f>'1 lentelė'!$E47</f>
        <v>Zarasų rajono savivaldybės administracija</v>
      </c>
      <c r="F46" s="29" t="s">
        <v>65</v>
      </c>
      <c r="G46" s="31" t="s">
        <v>1079</v>
      </c>
      <c r="H46" s="23">
        <f>'1 lentelė'!$P47</f>
        <v>194771.6</v>
      </c>
      <c r="I46" s="23">
        <f>'1 lentelė'!$Q47</f>
        <v>127500</v>
      </c>
      <c r="J46" s="23">
        <f>'1 lentelė'!$R47</f>
        <v>0</v>
      </c>
      <c r="K46" s="23">
        <f>'1 lentelė'!$S47</f>
        <v>67271.600000000006</v>
      </c>
      <c r="L46" s="49">
        <v>194771.6</v>
      </c>
      <c r="M46" s="49">
        <v>127500</v>
      </c>
      <c r="N46" s="236">
        <v>0</v>
      </c>
      <c r="O46" s="49">
        <f>L46-M46</f>
        <v>67271.600000000006</v>
      </c>
      <c r="P46" s="49">
        <v>0</v>
      </c>
      <c r="Q46" s="49">
        <v>0</v>
      </c>
      <c r="R46" s="49">
        <v>0</v>
      </c>
      <c r="S46" s="49">
        <f>P46-Q46</f>
        <v>0</v>
      </c>
      <c r="T46" s="48"/>
      <c r="W46" s="86"/>
      <c r="X46" s="87"/>
      <c r="Y46" s="87"/>
      <c r="Z46" s="41"/>
    </row>
    <row r="47" spans="2:37" s="222" customFormat="1" ht="133.5" customHeight="1" x14ac:dyDescent="0.25">
      <c r="B47" s="12" t="str">
        <f>'1 lentelė'!$B48</f>
        <v>1.2.1.1.3</v>
      </c>
      <c r="C47" s="12" t="str">
        <f>'1 lentelė'!$C48</f>
        <v>R095511-121100-1203</v>
      </c>
      <c r="D47" s="12" t="str">
        <f>'1 lentelė'!$D48</f>
        <v xml:space="preserve">Susisiekimo sąlygų pagerinimas tarp kuriamų Anykščių miesto traukos centrų bei patogus gyvenamosios aplinkos pasiekiamumo užtikrinimas. </v>
      </c>
      <c r="E47" s="12" t="str">
        <f>'1 lentelė'!$E48</f>
        <v>Anykščių rajono savivaldybės administracija</v>
      </c>
      <c r="F47" s="29" t="s">
        <v>65</v>
      </c>
      <c r="G47" s="29" t="s">
        <v>872</v>
      </c>
      <c r="H47" s="26">
        <v>580141.18000000005</v>
      </c>
      <c r="I47" s="26">
        <v>493120</v>
      </c>
      <c r="J47" s="26">
        <v>0</v>
      </c>
      <c r="K47" s="26">
        <v>87021.18</v>
      </c>
      <c r="L47" s="47">
        <v>615073.19000000006</v>
      </c>
      <c r="M47" s="47">
        <v>522812.21</v>
      </c>
      <c r="N47" s="72">
        <v>0</v>
      </c>
      <c r="O47" s="47">
        <v>92260.98</v>
      </c>
      <c r="P47" s="47">
        <f>Q47+R47+S47</f>
        <v>580141.17999999993</v>
      </c>
      <c r="Q47" s="47">
        <v>493120</v>
      </c>
      <c r="R47" s="72">
        <v>0</v>
      </c>
      <c r="S47" s="47">
        <v>87021.18</v>
      </c>
      <c r="T47" s="47" t="s">
        <v>1499</v>
      </c>
      <c r="W47" s="224"/>
      <c r="X47" s="225"/>
      <c r="Y47" s="225"/>
      <c r="Z47" s="226"/>
    </row>
    <row r="48" spans="2:37" s="222" customFormat="1" ht="96" customHeight="1" x14ac:dyDescent="0.25">
      <c r="B48" s="12" t="str">
        <f>'1 lentelė'!$B49</f>
        <v>1.2.1.1.4</v>
      </c>
      <c r="C48" s="12" t="str">
        <f>'1 lentelė'!$C49</f>
        <v>R095511-120000-1204</v>
      </c>
      <c r="D48" s="12" t="str">
        <f>'1 lentelė'!$D49</f>
        <v>Gyvenamosios aplinkos pasiekiamumo gerinimas Zarasų mieste rekonstruojant K. Donelaičio gatvę</v>
      </c>
      <c r="E48" s="12" t="str">
        <f>'1 lentelė'!$E49</f>
        <v>Zarasų rajono savivaldybės administracija</v>
      </c>
      <c r="F48" s="29" t="s">
        <v>65</v>
      </c>
      <c r="G48" s="29" t="s">
        <v>872</v>
      </c>
      <c r="H48" s="26">
        <f>'1 lentelė'!$P49</f>
        <v>629529.59</v>
      </c>
      <c r="I48" s="26">
        <f>'1 lentelė'!$Q49</f>
        <v>535100.15</v>
      </c>
      <c r="J48" s="26">
        <f>'1 lentelė'!$R49</f>
        <v>0</v>
      </c>
      <c r="K48" s="26">
        <f>'1 lentelė'!$S49</f>
        <v>94429.439999999944</v>
      </c>
      <c r="L48" s="26">
        <v>629529.59000000008</v>
      </c>
      <c r="M48" s="47">
        <v>535100.15</v>
      </c>
      <c r="N48" s="72">
        <v>0</v>
      </c>
      <c r="O48" s="47">
        <f>47214.72+W48</f>
        <v>47214.720000000001</v>
      </c>
      <c r="P48" s="26">
        <v>629529.59</v>
      </c>
      <c r="Q48" s="26">
        <v>535100.15</v>
      </c>
      <c r="R48" s="26">
        <v>0</v>
      </c>
      <c r="S48" s="26">
        <f>P48-Q48</f>
        <v>94429.439999999944</v>
      </c>
      <c r="T48" s="26" t="s">
        <v>1446</v>
      </c>
      <c r="U48" s="229"/>
      <c r="W48" s="224"/>
      <c r="X48" s="225"/>
      <c r="Y48" s="225"/>
      <c r="Z48" s="226"/>
    </row>
    <row r="49" spans="2:26" s="222" customFormat="1" ht="71.25" customHeight="1" x14ac:dyDescent="0.25">
      <c r="B49" s="12" t="str">
        <f>'1 lentelė'!$B50</f>
        <v>1.2.1.1.5</v>
      </c>
      <c r="C49" s="12" t="str">
        <f>'1 lentelė'!$C50</f>
        <v>R095511-120000-1205</v>
      </c>
      <c r="D49" s="12" t="str">
        <f>'1 lentelė'!$D50</f>
        <v xml:space="preserve">Molėtų miesto Pastovio g., Siesarties g. ir S. Nėries g. rekonstrukcija </v>
      </c>
      <c r="E49" s="12" t="str">
        <f>'1 lentelė'!$E50</f>
        <v>Molėtų rajono savivaldybės administracija</v>
      </c>
      <c r="F49" s="29" t="s">
        <v>65</v>
      </c>
      <c r="G49" s="29" t="s">
        <v>872</v>
      </c>
      <c r="H49" s="26">
        <v>422480.42</v>
      </c>
      <c r="I49" s="26">
        <v>356602.97</v>
      </c>
      <c r="J49" s="26">
        <v>0</v>
      </c>
      <c r="K49" s="26">
        <v>65877.450000000012</v>
      </c>
      <c r="L49" s="26">
        <v>428573.82999999996</v>
      </c>
      <c r="M49" s="47">
        <v>361746.23</v>
      </c>
      <c r="N49" s="72">
        <v>0</v>
      </c>
      <c r="O49" s="47">
        <f>34684.57+W49</f>
        <v>34684.57</v>
      </c>
      <c r="P49" s="47">
        <f>Q49+R49+S49</f>
        <v>422480.42</v>
      </c>
      <c r="Q49" s="47">
        <v>356602.97</v>
      </c>
      <c r="R49" s="72">
        <v>0</v>
      </c>
      <c r="S49" s="47">
        <v>65877.45</v>
      </c>
      <c r="T49" s="47" t="s">
        <v>1500</v>
      </c>
      <c r="U49" s="269"/>
      <c r="W49" s="224"/>
      <c r="X49" s="225"/>
      <c r="Y49" s="225"/>
      <c r="Z49" s="226"/>
    </row>
    <row r="50" spans="2:26" s="6" customFormat="1" ht="99" customHeight="1" x14ac:dyDescent="0.25">
      <c r="B50" s="12" t="str">
        <f>'1 lentelė'!$B51</f>
        <v>1.2.1.1.6</v>
      </c>
      <c r="C50" s="12" t="str">
        <f>'1 lentelė'!$C51</f>
        <v>R095511-120000-1206</v>
      </c>
      <c r="D50" s="12" t="str">
        <f>'1 lentelė'!$D51</f>
        <v xml:space="preserve">Aušros gatvės dalies nuo Gedimino ir Tauragnų gatvių sankryžos iki Žaliosios gatvės Utenoje rekonstrukcija. </v>
      </c>
      <c r="E50" s="12" t="str">
        <f>'1 lentelė'!$E51</f>
        <v>Utenos rajono savivaldybės administracija</v>
      </c>
      <c r="F50" s="29" t="s">
        <v>65</v>
      </c>
      <c r="G50" s="31" t="s">
        <v>1079</v>
      </c>
      <c r="H50" s="23">
        <f>'1 lentelė'!$P51</f>
        <v>944540.69</v>
      </c>
      <c r="I50" s="23">
        <f>'1 lentelė'!$Q51</f>
        <v>323969.08999999997</v>
      </c>
      <c r="J50" s="23">
        <f>'1 lentelė'!$R51</f>
        <v>0</v>
      </c>
      <c r="K50" s="23">
        <f>'1 lentelė'!$S51</f>
        <v>620571.6</v>
      </c>
      <c r="L50" s="23">
        <v>944540.69000000006</v>
      </c>
      <c r="M50" s="49">
        <v>323969.08999999997</v>
      </c>
      <c r="N50" s="236">
        <v>0</v>
      </c>
      <c r="O50" s="49">
        <f>549731.05+W50</f>
        <v>620571.60000000009</v>
      </c>
      <c r="P50" s="49">
        <v>862959.9</v>
      </c>
      <c r="Q50" s="49">
        <v>295987.59999999998</v>
      </c>
      <c r="R50" s="49">
        <v>0</v>
      </c>
      <c r="S50" s="49">
        <f>P50-Q50</f>
        <v>566972.30000000005</v>
      </c>
      <c r="T50" s="49"/>
      <c r="W50" s="86">
        <v>70840.55</v>
      </c>
      <c r="X50" s="87"/>
      <c r="Y50" s="87"/>
      <c r="Z50" s="41">
        <f t="shared" ref="Z50:Z57" si="10">L50-M50-N50-O50</f>
        <v>0</v>
      </c>
    </row>
    <row r="51" spans="2:26" s="222" customFormat="1" ht="81.75" customHeight="1" x14ac:dyDescent="0.25">
      <c r="B51" s="12" t="str">
        <f>'1 lentelė'!$B52</f>
        <v>1.2.1.1.7</v>
      </c>
      <c r="C51" s="12" t="str">
        <f>'1 lentelė'!$C52</f>
        <v>R095511-120000-1207</v>
      </c>
      <c r="D51" s="12" t="str">
        <f>'1 lentelė'!$D52</f>
        <v>Vietinės reikšmės kelio Visagino-Parko-Sedulinos al. kvartale rekonstravimas</v>
      </c>
      <c r="E51" s="12" t="str">
        <f>'1 lentelė'!$E52</f>
        <v>Visagino savivaldybės administracija</v>
      </c>
      <c r="F51" s="29" t="s">
        <v>65</v>
      </c>
      <c r="G51" s="29" t="s">
        <v>1079</v>
      </c>
      <c r="H51" s="26">
        <f>'1 lentelė'!$P52</f>
        <v>956722.11</v>
      </c>
      <c r="I51" s="26">
        <f>'1 lentelė'!$Q52</f>
        <v>759345.73</v>
      </c>
      <c r="J51" s="26">
        <f>'1 lentelė'!$R52</f>
        <v>0</v>
      </c>
      <c r="K51" s="26">
        <f>'1 lentelė'!$S52</f>
        <v>197376.38</v>
      </c>
      <c r="L51" s="47">
        <v>956722.11</v>
      </c>
      <c r="M51" s="47">
        <v>759345.73</v>
      </c>
      <c r="N51" s="72">
        <v>0</v>
      </c>
      <c r="O51" s="47">
        <f>L51-M51</f>
        <v>197376.38</v>
      </c>
      <c r="P51" s="47">
        <v>949279.68</v>
      </c>
      <c r="Q51" s="47">
        <v>753438.71</v>
      </c>
      <c r="R51" s="72">
        <v>0</v>
      </c>
      <c r="S51" s="47">
        <f>P51-Q51</f>
        <v>195840.97000000009</v>
      </c>
      <c r="T51" s="47"/>
      <c r="U51" s="226"/>
      <c r="W51" s="224"/>
      <c r="X51" s="225"/>
      <c r="Y51" s="225"/>
      <c r="Z51" s="226"/>
    </row>
    <row r="52" spans="2:26" s="6" customFormat="1" ht="97.5" customHeight="1" x14ac:dyDescent="0.25">
      <c r="B52" s="12" t="str">
        <f>'1 lentelė'!$B53</f>
        <v>1.2.1.1.8</v>
      </c>
      <c r="C52" s="12" t="str">
        <f>'1 lentelė'!$C53</f>
        <v>R095511-120000-1208</v>
      </c>
      <c r="D52" s="12" t="str">
        <f>'1 lentelė'!$D53</f>
        <v>Gyvenamosios aplinkos pasiekiamumo gerinimas Zarasų mieste rekonstruojant E. Pliaterytės gatvę</v>
      </c>
      <c r="E52" s="12" t="str">
        <f>'1 lentelė'!$E53</f>
        <v>Zarasų rajono savivaldybės administracija</v>
      </c>
      <c r="F52" s="23" t="s">
        <v>65</v>
      </c>
      <c r="G52" s="29" t="s">
        <v>1079</v>
      </c>
      <c r="H52" s="23">
        <f>'1 lentelė'!$P53</f>
        <v>108426.93</v>
      </c>
      <c r="I52" s="23">
        <f>'1 lentelė'!$Q53</f>
        <v>87059.24</v>
      </c>
      <c r="J52" s="23">
        <f>'1 lentelė'!$R53</f>
        <v>0</v>
      </c>
      <c r="K52" s="23">
        <f>'1 lentelė'!$S53</f>
        <v>21367.689999999988</v>
      </c>
      <c r="L52" s="23">
        <v>108426.93</v>
      </c>
      <c r="M52" s="49">
        <v>87059.24</v>
      </c>
      <c r="N52" s="236">
        <v>0</v>
      </c>
      <c r="O52" s="49">
        <f>L52-M52</f>
        <v>21367.689999999988</v>
      </c>
      <c r="P52" s="235">
        <v>0</v>
      </c>
      <c r="Q52" s="235">
        <v>0</v>
      </c>
      <c r="R52" s="235">
        <v>0</v>
      </c>
      <c r="S52" s="235">
        <v>0</v>
      </c>
      <c r="T52" s="48"/>
      <c r="W52" s="86">
        <v>0</v>
      </c>
      <c r="X52" s="87"/>
      <c r="Y52" s="87"/>
      <c r="Z52" s="41">
        <f t="shared" si="10"/>
        <v>0</v>
      </c>
    </row>
    <row r="53" spans="2:26" s="6" customFormat="1" ht="112.5" customHeight="1" x14ac:dyDescent="0.25">
      <c r="B53" s="12" t="str">
        <f>'1 lentelė'!$B54</f>
        <v>1.2.1.1.9</v>
      </c>
      <c r="C53" s="12" t="str">
        <f>'1 lentelė'!$C54</f>
        <v>R095511-120000-1220</v>
      </c>
      <c r="D53" s="12" t="str">
        <f>'1 lentelė'!$D54</f>
        <v>Eismo sąlygų pagerinimas ir gyvenamosios aplinkos pasiekiamumo užtikrinimas, rekonstruojant Žvejų gatvę Anykščių mieste</v>
      </c>
      <c r="E53" s="12" t="str">
        <f>'1 lentelė'!$E54</f>
        <v>Anykščių rajono savivaldybės administracija</v>
      </c>
      <c r="F53" s="29" t="s">
        <v>65</v>
      </c>
      <c r="G53" s="31" t="s">
        <v>1079</v>
      </c>
      <c r="H53" s="23">
        <f>'1 lentelė'!$P54</f>
        <v>348894.97</v>
      </c>
      <c r="I53" s="23">
        <f>'1 lentelė'!$Q54</f>
        <v>296560.71999999997</v>
      </c>
      <c r="J53" s="23">
        <f>'1 lentelė'!$R54</f>
        <v>0</v>
      </c>
      <c r="K53" s="23">
        <f>'1 lentelė'!$S54</f>
        <v>52334.25</v>
      </c>
      <c r="L53" s="23">
        <f>H53</f>
        <v>348894.97</v>
      </c>
      <c r="M53" s="23">
        <f t="shared" ref="M53:O53" si="11">I53</f>
        <v>296560.71999999997</v>
      </c>
      <c r="N53" s="23">
        <f t="shared" si="11"/>
        <v>0</v>
      </c>
      <c r="O53" s="23">
        <f t="shared" si="11"/>
        <v>52334.25</v>
      </c>
      <c r="P53" s="235">
        <v>0</v>
      </c>
      <c r="Q53" s="235">
        <v>0</v>
      </c>
      <c r="R53" s="235">
        <v>0</v>
      </c>
      <c r="S53" s="235">
        <v>0</v>
      </c>
      <c r="T53" s="48"/>
      <c r="W53" s="86">
        <v>0</v>
      </c>
      <c r="X53" s="87"/>
      <c r="Y53" s="87"/>
      <c r="Z53" s="41">
        <f t="shared" si="10"/>
        <v>0</v>
      </c>
    </row>
    <row r="54" spans="2:26" s="6" customFormat="1" ht="58.5" customHeight="1" x14ac:dyDescent="0.25">
      <c r="B54" s="12" t="str">
        <f>'1 lentelė'!$B55</f>
        <v>1.2.1.1.10</v>
      </c>
      <c r="C54" s="12" t="str">
        <f>'1 lentelė'!$C55</f>
        <v>R095511-120000-1221</v>
      </c>
      <c r="D54" s="12" t="str">
        <f>'1 lentelė'!$D55</f>
        <v>Ignalinos miesto Ligoninės gatvės dalies rekonstrukcija</v>
      </c>
      <c r="E54" s="12" t="str">
        <f>'1 lentelė'!$E55</f>
        <v>Ignalinos rajono savivaldybės administracija</v>
      </c>
      <c r="F54" s="31" t="s">
        <v>65</v>
      </c>
      <c r="G54" s="31" t="s">
        <v>66</v>
      </c>
      <c r="H54" s="23">
        <f>'1 lentelė'!$P55</f>
        <v>179266</v>
      </c>
      <c r="I54" s="23">
        <f>'1 lentelė'!$Q55</f>
        <v>152376.1</v>
      </c>
      <c r="J54" s="23">
        <f>'1 lentelė'!$R55</f>
        <v>0</v>
      </c>
      <c r="K54" s="23">
        <f>'1 lentelė'!$S55</f>
        <v>26889.899999999994</v>
      </c>
      <c r="L54" s="23">
        <v>0</v>
      </c>
      <c r="M54" s="236">
        <v>0</v>
      </c>
      <c r="N54" s="236">
        <v>0</v>
      </c>
      <c r="O54" s="236">
        <v>0</v>
      </c>
      <c r="P54" s="235">
        <v>0</v>
      </c>
      <c r="Q54" s="235">
        <v>0</v>
      </c>
      <c r="R54" s="235">
        <v>0</v>
      </c>
      <c r="S54" s="235">
        <v>0</v>
      </c>
      <c r="T54" s="48"/>
      <c r="W54" s="86">
        <v>0</v>
      </c>
      <c r="X54" s="87"/>
      <c r="Y54" s="87"/>
      <c r="Z54" s="41">
        <f t="shared" si="10"/>
        <v>0</v>
      </c>
    </row>
    <row r="55" spans="2:26" s="6" customFormat="1" ht="64.5" customHeight="1" x14ac:dyDescent="0.25">
      <c r="B55" s="12" t="str">
        <f>'1 lentelė'!$B56</f>
        <v xml:space="preserve"> </v>
      </c>
      <c r="C55" s="12" t="str">
        <f>'1 lentelė'!$C56</f>
        <v>R095511-120000-1222</v>
      </c>
      <c r="D55" s="12" t="str">
        <f>'1 lentelė'!$D56</f>
        <v>Saugaus eismo priemonių diegimas Ignalinos rajono keliuose</v>
      </c>
      <c r="E55" s="12" t="str">
        <f>'1 lentelė'!$E56</f>
        <v>Ignalinos rajono savivaldybės administracija</v>
      </c>
      <c r="F55" s="23" t="s">
        <v>66</v>
      </c>
      <c r="G55" s="31" t="s">
        <v>66</v>
      </c>
      <c r="H55" s="23">
        <f>'1 lentelė'!$P56</f>
        <v>229502.15</v>
      </c>
      <c r="I55" s="23">
        <f>'1 lentelė'!$Q56</f>
        <v>195076.83</v>
      </c>
      <c r="J55" s="23">
        <f>'1 lentelė'!$R56</f>
        <v>0</v>
      </c>
      <c r="K55" s="23">
        <f>'1 lentelė'!$S56</f>
        <v>34425.320000000007</v>
      </c>
      <c r="L55" s="23">
        <v>0</v>
      </c>
      <c r="M55" s="236">
        <v>0</v>
      </c>
      <c r="N55" s="236">
        <v>0</v>
      </c>
      <c r="O55" s="236">
        <v>0</v>
      </c>
      <c r="P55" s="235">
        <v>0</v>
      </c>
      <c r="Q55" s="235">
        <v>0</v>
      </c>
      <c r="R55" s="235">
        <v>0</v>
      </c>
      <c r="S55" s="235">
        <v>0</v>
      </c>
      <c r="T55" s="48"/>
      <c r="W55" s="86">
        <v>0</v>
      </c>
      <c r="X55" s="87"/>
      <c r="Y55" s="87"/>
      <c r="Z55" s="41">
        <f t="shared" si="10"/>
        <v>0</v>
      </c>
    </row>
    <row r="56" spans="2:26" s="6" customFormat="1" ht="76.5" customHeight="1" x14ac:dyDescent="0.25">
      <c r="B56" s="12" t="str">
        <f>'1 lentelė'!$B57</f>
        <v>1.2.1.1.12</v>
      </c>
      <c r="C56" s="12" t="str">
        <f>'1 lentelė'!$C57</f>
        <v>R095511-120000-1223</v>
      </c>
      <c r="D56" s="12" t="str">
        <f>'1 lentelė'!$D57</f>
        <v>Saugaus eismo priemonių diegimas Molėtų rajono  Giedraičių miestelyje</v>
      </c>
      <c r="E56" s="12" t="str">
        <f>'1 lentelė'!$E57</f>
        <v>Molėtų rajono savivaldybės administracija</v>
      </c>
      <c r="F56" s="31" t="s">
        <v>66</v>
      </c>
      <c r="G56" s="31" t="s">
        <v>1079</v>
      </c>
      <c r="H56" s="23">
        <f>'1 lentelė'!$P57</f>
        <v>193151.51</v>
      </c>
      <c r="I56" s="23">
        <f>'1 lentelė'!$Q57</f>
        <v>160885.54999999999</v>
      </c>
      <c r="J56" s="23">
        <f>'1 lentelė'!$R57</f>
        <v>0</v>
      </c>
      <c r="K56" s="23">
        <f>'1 lentelė'!$S57</f>
        <v>32265.960000000021</v>
      </c>
      <c r="L56" s="23">
        <f>H56</f>
        <v>193151.51</v>
      </c>
      <c r="M56" s="23">
        <f t="shared" ref="M56:O56" si="12">I56</f>
        <v>160885.54999999999</v>
      </c>
      <c r="N56" s="23">
        <f t="shared" si="12"/>
        <v>0</v>
      </c>
      <c r="O56" s="23">
        <f t="shared" si="12"/>
        <v>32265.960000000021</v>
      </c>
      <c r="P56" s="235">
        <v>0</v>
      </c>
      <c r="Q56" s="235">
        <v>0</v>
      </c>
      <c r="R56" s="235">
        <v>0</v>
      </c>
      <c r="S56" s="235">
        <v>0</v>
      </c>
      <c r="T56" s="48"/>
      <c r="W56" s="86">
        <v>0</v>
      </c>
      <c r="X56" s="87"/>
      <c r="Y56" s="87"/>
      <c r="Z56" s="41">
        <f t="shared" si="10"/>
        <v>0</v>
      </c>
    </row>
    <row r="57" spans="2:26" s="6" customFormat="1" ht="63.75" customHeight="1" x14ac:dyDescent="0.25">
      <c r="B57" s="12" t="str">
        <f>'1 lentelė'!$B58</f>
        <v>1.2.1.1.14</v>
      </c>
      <c r="C57" s="12" t="str">
        <f>'1 lentelė'!$C58</f>
        <v>R095511-120000-1225</v>
      </c>
      <c r="D57" s="12" t="str">
        <f>'1 lentelė'!$D58</f>
        <v>Saugaus eismo priemonių diegimas Žemaitės gatvėje Zarasų mieste</v>
      </c>
      <c r="E57" s="12" t="str">
        <f>'1 lentelė'!$E58</f>
        <v>Zarasų rajono savivaldybės administracija</v>
      </c>
      <c r="F57" s="29" t="s">
        <v>66</v>
      </c>
      <c r="G57" s="31" t="s">
        <v>66</v>
      </c>
      <c r="H57" s="23">
        <f>'1 lentelė'!$P58</f>
        <v>296612</v>
      </c>
      <c r="I57" s="23">
        <f>'1 lentelė'!$Q58</f>
        <v>214303</v>
      </c>
      <c r="J57" s="23">
        <f>'1 lentelė'!$R58</f>
        <v>0</v>
      </c>
      <c r="K57" s="23">
        <f>'1 lentelė'!$S58</f>
        <v>82309</v>
      </c>
      <c r="L57" s="23">
        <v>0</v>
      </c>
      <c r="M57" s="236">
        <v>0</v>
      </c>
      <c r="N57" s="236">
        <v>0</v>
      </c>
      <c r="O57" s="236">
        <v>0</v>
      </c>
      <c r="P57" s="235">
        <v>0</v>
      </c>
      <c r="Q57" s="235">
        <v>0</v>
      </c>
      <c r="R57" s="235">
        <v>0</v>
      </c>
      <c r="S57" s="235">
        <v>0</v>
      </c>
      <c r="T57" s="48"/>
      <c r="W57" s="86">
        <v>0</v>
      </c>
      <c r="X57" s="87"/>
      <c r="Y57" s="87"/>
      <c r="Z57" s="41">
        <f t="shared" si="10"/>
        <v>0</v>
      </c>
    </row>
    <row r="58" spans="2:26" s="6" customFormat="1" ht="130.5" customHeight="1" x14ac:dyDescent="0.25">
      <c r="B58" s="42" t="str">
        <f>'1 lentelė'!$B59</f>
        <v xml:space="preserve">1.2.2 </v>
      </c>
      <c r="C58" s="42"/>
      <c r="D58" s="42" t="str">
        <f>'1 lentelė'!$D59</f>
        <v>Uždavinys: Plėtoti  aplinką tausojančią ir eismo saugą didinančią infrastruktūrą ir priemones bei darnų judumą</v>
      </c>
      <c r="E58" s="42"/>
      <c r="F58" s="42"/>
      <c r="G58" s="42"/>
      <c r="H58" s="42"/>
      <c r="I58" s="42"/>
      <c r="J58" s="42"/>
      <c r="K58" s="42"/>
      <c r="L58" s="42"/>
      <c r="M58" s="42"/>
      <c r="N58" s="42"/>
      <c r="O58" s="42"/>
      <c r="P58" s="42"/>
      <c r="Q58" s="42"/>
      <c r="R58" s="42"/>
      <c r="S58" s="42"/>
      <c r="T58" s="20"/>
    </row>
    <row r="59" spans="2:26" s="6" customFormat="1" ht="69.75" customHeight="1" x14ac:dyDescent="0.25">
      <c r="B59" s="44" t="str">
        <f>'1 lentelė'!$B60</f>
        <v>1.2.2.1</v>
      </c>
      <c r="C59" s="232" t="s">
        <v>230</v>
      </c>
      <c r="D59" s="76" t="str">
        <f>'1 lentelė'!$D60</f>
        <v>Priemonė: Pėsčiųjų ir dviračių takų rekonstrukcija ir plėtra</v>
      </c>
      <c r="E59" s="44"/>
      <c r="F59" s="44"/>
      <c r="G59" s="44"/>
      <c r="H59" s="263">
        <f>SUM(H60:H65)</f>
        <v>729764.49</v>
      </c>
      <c r="I59" s="263">
        <f t="shared" ref="I59:M59" si="13">SUM(I60:I65)</f>
        <v>407259</v>
      </c>
      <c r="J59" s="263">
        <f t="shared" si="13"/>
        <v>0</v>
      </c>
      <c r="K59" s="263">
        <f t="shared" si="13"/>
        <v>322505.49</v>
      </c>
      <c r="L59" s="263">
        <f t="shared" si="13"/>
        <v>482407.73</v>
      </c>
      <c r="M59" s="263">
        <f t="shared" si="13"/>
        <v>308052</v>
      </c>
      <c r="N59" s="263">
        <f t="shared" ref="N59" si="14">SUM(N60:N65)</f>
        <v>0</v>
      </c>
      <c r="O59" s="263">
        <f t="shared" ref="O59" si="15">SUM(O60:O65)</f>
        <v>174355.72999999998</v>
      </c>
      <c r="P59" s="263">
        <f t="shared" ref="P59" si="16">SUM(P60:P65)</f>
        <v>460666.58999999997</v>
      </c>
      <c r="Q59" s="263">
        <f t="shared" ref="Q59" si="17">SUM(Q60:Q65)</f>
        <v>293097.77</v>
      </c>
      <c r="R59" s="263">
        <f t="shared" ref="R59" si="18">SUM(R60:R65)</f>
        <v>0</v>
      </c>
      <c r="S59" s="263">
        <f t="shared" ref="S59" si="19">SUM(S60:S65)</f>
        <v>167568.81999999995</v>
      </c>
      <c r="T59" s="263">
        <f t="shared" ref="T59" si="20">SUM(T60:T65)</f>
        <v>0</v>
      </c>
    </row>
    <row r="60" spans="2:26" s="6" customFormat="1" ht="13.5" customHeight="1" x14ac:dyDescent="0.25">
      <c r="B60" s="12"/>
      <c r="C60" s="12"/>
      <c r="D60" s="12"/>
      <c r="E60" s="12"/>
      <c r="F60" s="29"/>
      <c r="G60" s="29"/>
      <c r="H60" s="23"/>
      <c r="I60" s="23"/>
      <c r="J60" s="23"/>
      <c r="K60" s="23"/>
      <c r="L60" s="23"/>
      <c r="M60" s="23"/>
      <c r="N60" s="23"/>
      <c r="O60" s="23"/>
      <c r="P60" s="235"/>
      <c r="Q60" s="235"/>
      <c r="R60" s="235"/>
      <c r="S60" s="235"/>
      <c r="T60" s="130"/>
      <c r="V60" s="38">
        <f>L60-M60-N60-O60</f>
        <v>0</v>
      </c>
      <c r="W60" s="38"/>
      <c r="X60" s="38"/>
      <c r="Y60" s="38"/>
    </row>
    <row r="61" spans="2:26" s="222" customFormat="1" ht="135" customHeight="1" x14ac:dyDescent="0.25">
      <c r="B61" s="12" t="str">
        <f>'1 lentelė'!$B62</f>
        <v>1.2.2.1.3</v>
      </c>
      <c r="C61" s="12" t="str">
        <f>'1 lentelė'!$C62</f>
        <v>R095516-190000-1210</v>
      </c>
      <c r="D61" s="12" t="str">
        <f>'1 lentelė'!$D62</f>
        <v>Dviračių ir pėsčiųjų takų tinklo palei Ąžuolų g. iki mokyklų komplekso plėtra didinant atskirų Molėtų miesto teritorijų tarpusavio integraciją</v>
      </c>
      <c r="E61" s="12" t="str">
        <f>'1 lentelė'!$E62</f>
        <v>Molėtų rajono savivaldybės administracija</v>
      </c>
      <c r="F61" s="29" t="s">
        <v>65</v>
      </c>
      <c r="G61" s="29" t="s">
        <v>1079</v>
      </c>
      <c r="H61" s="26">
        <f>'1 lentelė'!$P62</f>
        <v>322662</v>
      </c>
      <c r="I61" s="26">
        <f>'1 lentelė'!$Q62</f>
        <v>165122</v>
      </c>
      <c r="J61" s="26">
        <f>'1 lentelė'!$R62</f>
        <v>0</v>
      </c>
      <c r="K61" s="26">
        <f>'1 lentelė'!$S62</f>
        <v>157540</v>
      </c>
      <c r="L61" s="26">
        <v>226399.72999999998</v>
      </c>
      <c r="M61" s="26">
        <v>165122</v>
      </c>
      <c r="N61" s="26">
        <v>0</v>
      </c>
      <c r="O61" s="26">
        <f>33959.96+X61</f>
        <v>61277.729999999996</v>
      </c>
      <c r="P61" s="26">
        <v>210450.62</v>
      </c>
      <c r="Q61" s="26">
        <v>153489.70000000001</v>
      </c>
      <c r="R61" s="26">
        <v>0</v>
      </c>
      <c r="S61" s="26">
        <f>P61-Q61</f>
        <v>56960.919999999984</v>
      </c>
      <c r="T61" s="26"/>
      <c r="V61" s="40">
        <f t="shared" ref="V61:V63" si="21">L61-M61-N61-O61</f>
        <v>0</v>
      </c>
      <c r="W61" s="40"/>
      <c r="X61" s="40">
        <v>27317.77</v>
      </c>
      <c r="Y61" s="40" t="s">
        <v>876</v>
      </c>
    </row>
    <row r="62" spans="2:26" s="222" customFormat="1" ht="102" customHeight="1" x14ac:dyDescent="0.25">
      <c r="B62" s="12" t="str">
        <f>'1 lentelė'!$B63</f>
        <v>1.2.2.1.4</v>
      </c>
      <c r="C62" s="12" t="str">
        <f>'1 lentelė'!$C63</f>
        <v>R095516-190000-1211</v>
      </c>
      <c r="D62" s="12" t="str">
        <f>'1 lentelė'!$D63</f>
        <v>Dviračių ir pėsčiųjų takų infrastruktūros Utenos mieste plėtra, siekiant pagerinti Pramonės rajono pasiekiamumą.</v>
      </c>
      <c r="E62" s="12" t="str">
        <f>'1 lentelė'!$E63</f>
        <v>Utenos rajono savivaldybės administracija</v>
      </c>
      <c r="F62" s="29" t="s">
        <v>65</v>
      </c>
      <c r="G62" s="29" t="s">
        <v>872</v>
      </c>
      <c r="H62" s="26">
        <f>'1 lentelė'!$P63</f>
        <v>131687.24</v>
      </c>
      <c r="I62" s="26">
        <f>'1 lentelė'!$Q63</f>
        <v>71645</v>
      </c>
      <c r="J62" s="26">
        <f>'1 lentelė'!$R63</f>
        <v>0</v>
      </c>
      <c r="K62" s="26">
        <f>'1 lentelė'!$S63</f>
        <v>60042.239999999991</v>
      </c>
      <c r="L62" s="26">
        <v>131687.24</v>
      </c>
      <c r="M62" s="26">
        <v>71645</v>
      </c>
      <c r="N62" s="26">
        <v>0</v>
      </c>
      <c r="O62" s="26">
        <f>L62-M62</f>
        <v>60042.239999999991</v>
      </c>
      <c r="P62" s="270">
        <v>131687.24</v>
      </c>
      <c r="Q62" s="270">
        <v>71645</v>
      </c>
      <c r="R62" s="26">
        <v>0</v>
      </c>
      <c r="S62" s="270">
        <f>P62-Q62</f>
        <v>60042.239999999991</v>
      </c>
      <c r="T62" s="26" t="s">
        <v>1447</v>
      </c>
      <c r="V62" s="40">
        <f t="shared" si="21"/>
        <v>0</v>
      </c>
      <c r="W62" s="40"/>
      <c r="X62" s="40"/>
      <c r="Y62" s="40"/>
    </row>
    <row r="63" spans="2:26" s="222" customFormat="1" ht="89.25" customHeight="1" x14ac:dyDescent="0.25">
      <c r="B63" s="12" t="str">
        <f>'1 lentelė'!$B64</f>
        <v xml:space="preserve">1.2.2.1.5 </v>
      </c>
      <c r="C63" s="12" t="str">
        <f>'1 lentelė'!$C64</f>
        <v>R095516-190000-1212</v>
      </c>
      <c r="D63" s="12" t="str">
        <f>'1 lentelė'!$D64</f>
        <v xml:space="preserve">Pėsčiųjų ir dviračių takų plėtra Griežto ežero pakrantėje nuo Vytauto gatvės iki Griežto gatvės </v>
      </c>
      <c r="E63" s="12" t="str">
        <f>'1 lentelė'!$E64</f>
        <v xml:space="preserve">Zarasų rajono savivaldybės administracija </v>
      </c>
      <c r="F63" s="29" t="s">
        <v>30</v>
      </c>
      <c r="G63" s="29" t="s">
        <v>1079</v>
      </c>
      <c r="H63" s="26">
        <f>'1 lentelė'!$P64</f>
        <v>124320.76</v>
      </c>
      <c r="I63" s="26">
        <f>'1 lentelė'!$Q64</f>
        <v>71285</v>
      </c>
      <c r="J63" s="26">
        <f>'1 lentelė'!$R64</f>
        <v>0</v>
      </c>
      <c r="K63" s="26">
        <f>'1 lentelė'!$S64</f>
        <v>53035.759999999995</v>
      </c>
      <c r="L63" s="26">
        <v>124320.76000000001</v>
      </c>
      <c r="M63" s="26">
        <v>71285</v>
      </c>
      <c r="N63" s="26">
        <v>0</v>
      </c>
      <c r="O63" s="26">
        <v>53035.76</v>
      </c>
      <c r="P63" s="270">
        <v>118528.73</v>
      </c>
      <c r="Q63" s="270">
        <v>67963.070000000007</v>
      </c>
      <c r="R63" s="26">
        <v>0</v>
      </c>
      <c r="S63" s="270">
        <f>P63-Q63</f>
        <v>50565.659999999989</v>
      </c>
      <c r="T63" s="26"/>
      <c r="V63" s="222">
        <f t="shared" si="21"/>
        <v>0</v>
      </c>
    </row>
    <row r="64" spans="2:26" s="222" customFormat="1" ht="89.25" customHeight="1" x14ac:dyDescent="0.25">
      <c r="B64" s="12" t="str">
        <f>'1 lentelė'!$B65</f>
        <v>1.2.2.1.6</v>
      </c>
      <c r="C64" s="12" t="str">
        <f>'1 lentelė'!$C65</f>
        <v>R095516-190000-1213</v>
      </c>
      <c r="D64" s="12" t="str">
        <f>'1 lentelė'!$D65</f>
        <v xml:space="preserve">Pėsčiųjų takų tinklo plėtra Dusetose, Zarasų rajone </v>
      </c>
      <c r="E64" s="12" t="str">
        <f>'1 lentelė'!$E65</f>
        <v>Zarasų rajono savivaldybės administracija</v>
      </c>
      <c r="F64" s="29" t="s">
        <v>66</v>
      </c>
      <c r="G64" s="29" t="s">
        <v>66</v>
      </c>
      <c r="H64" s="26">
        <f>'1 lentelė'!$P65</f>
        <v>48964</v>
      </c>
      <c r="I64" s="26">
        <f>'1 lentelė'!$Q65</f>
        <v>41619</v>
      </c>
      <c r="J64" s="26">
        <f>'1 lentelė'!$R65</f>
        <v>0</v>
      </c>
      <c r="K64" s="26">
        <f>'1 lentelė'!$S65</f>
        <v>7345</v>
      </c>
      <c r="L64" s="26">
        <v>0</v>
      </c>
      <c r="M64" s="26">
        <v>0</v>
      </c>
      <c r="N64" s="26">
        <v>0</v>
      </c>
      <c r="O64" s="26">
        <v>0</v>
      </c>
      <c r="P64" s="283">
        <v>0</v>
      </c>
      <c r="Q64" s="283">
        <v>0</v>
      </c>
      <c r="R64" s="26">
        <v>0</v>
      </c>
      <c r="S64" s="283">
        <v>0</v>
      </c>
      <c r="T64" s="26"/>
    </row>
    <row r="65" spans="2:25" s="222" customFormat="1" ht="89.25" customHeight="1" x14ac:dyDescent="0.25">
      <c r="B65" s="12" t="str">
        <f>'1 lentelė'!$B66</f>
        <v>1.2.2.1.7</v>
      </c>
      <c r="C65" s="12" t="str">
        <f>'1 lentelė'!$C66</f>
        <v>R095516-190000-1214</v>
      </c>
      <c r="D65" s="12" t="str">
        <f>'1 lentelė'!$D66</f>
        <v>Susisiekimo sąlygų gerinimas Molėtų mieste įrengiant pėsčiųjų takus tarp Ąžuolų ir Melioratorių gatvių</v>
      </c>
      <c r="E65" s="12" t="str">
        <f>'1 lentelė'!$E66</f>
        <v>Molėtų rajono savivaldybės administracija</v>
      </c>
      <c r="F65" s="29" t="s">
        <v>66</v>
      </c>
      <c r="G65" s="29" t="s">
        <v>66</v>
      </c>
      <c r="H65" s="26">
        <f>'1 lentelė'!$P66</f>
        <v>102130.48999999999</v>
      </c>
      <c r="I65" s="26">
        <f>'1 lentelė'!$Q66</f>
        <v>57588</v>
      </c>
      <c r="J65" s="26">
        <f>'1 lentelė'!$R66</f>
        <v>0</v>
      </c>
      <c r="K65" s="26">
        <f>'1 lentelė'!$S66</f>
        <v>44542.49</v>
      </c>
      <c r="L65" s="26">
        <v>0</v>
      </c>
      <c r="M65" s="26">
        <v>0</v>
      </c>
      <c r="N65" s="26">
        <v>0</v>
      </c>
      <c r="O65" s="26">
        <v>0</v>
      </c>
      <c r="P65" s="283">
        <v>0</v>
      </c>
      <c r="Q65" s="283">
        <v>0</v>
      </c>
      <c r="R65" s="26">
        <v>0</v>
      </c>
      <c r="S65" s="283">
        <v>0</v>
      </c>
      <c r="T65" s="26"/>
    </row>
    <row r="66" spans="2:25" s="222" customFormat="1" ht="123" customHeight="1" x14ac:dyDescent="0.25">
      <c r="B66" s="12" t="str">
        <f>'1 lentelė'!$B67</f>
        <v>1.2.2.1.8</v>
      </c>
      <c r="C66" s="12" t="str">
        <f>'1 lentelė'!$C67</f>
        <v>R095516-190000-1218</v>
      </c>
      <c r="D66" s="12" t="str">
        <f>'1 lentelė'!$D67</f>
        <v>Dviračių ir pėsčiųjų tako įrengimas Ignalinos mieste sodininkų bendriją sujungiant su esamu dviračių ir pėsčiųjų taku</v>
      </c>
      <c r="E66" s="12" t="str">
        <f>'1 lentelė'!$E67</f>
        <v>Ignalinos rajono savivaldybės administracija</v>
      </c>
      <c r="F66" s="29" t="s">
        <v>66</v>
      </c>
      <c r="G66" s="29" t="s">
        <v>66</v>
      </c>
      <c r="H66" s="26">
        <f>'1 lentelė'!P67</f>
        <v>103543</v>
      </c>
      <c r="I66" s="26">
        <f>'1 lentelė'!Q67</f>
        <v>73543</v>
      </c>
      <c r="J66" s="26">
        <f>'1 lentelė'!R67</f>
        <v>0</v>
      </c>
      <c r="K66" s="26">
        <f>'1 lentelė'!S67</f>
        <v>30000</v>
      </c>
      <c r="L66" s="26">
        <v>0</v>
      </c>
      <c r="M66" s="26">
        <v>0</v>
      </c>
      <c r="N66" s="26">
        <v>0</v>
      </c>
      <c r="O66" s="26">
        <v>0</v>
      </c>
      <c r="P66" s="283">
        <v>0</v>
      </c>
      <c r="Q66" s="283">
        <v>0</v>
      </c>
      <c r="R66" s="26">
        <v>0</v>
      </c>
      <c r="S66" s="283">
        <v>0</v>
      </c>
      <c r="T66" s="26"/>
    </row>
    <row r="67" spans="2:25" s="6" customFormat="1" ht="67.5" customHeight="1" x14ac:dyDescent="0.25">
      <c r="B67" s="44" t="str">
        <f>'1 lentelė'!$B68</f>
        <v>1.2.2.2</v>
      </c>
      <c r="C67" s="232" t="s">
        <v>1169</v>
      </c>
      <c r="D67" s="76" t="str">
        <f>'1 lentelė'!$D68</f>
        <v>Priemonė: Darnaus judumo priemonių diegimas</v>
      </c>
      <c r="E67" s="44"/>
      <c r="F67" s="44"/>
      <c r="G67" s="44"/>
      <c r="H67" s="263">
        <f>SUM(H69:H72)</f>
        <v>1569563.06</v>
      </c>
      <c r="I67" s="263">
        <f t="shared" ref="I67:S67" si="22">SUM(I69:I72)</f>
        <v>1333052</v>
      </c>
      <c r="J67" s="263">
        <f t="shared" si="22"/>
        <v>0</v>
      </c>
      <c r="K67" s="263">
        <f t="shared" si="22"/>
        <v>236511.06</v>
      </c>
      <c r="L67" s="263">
        <f t="shared" si="22"/>
        <v>896776</v>
      </c>
      <c r="M67" s="263">
        <f t="shared" si="22"/>
        <v>761183</v>
      </c>
      <c r="N67" s="263">
        <f t="shared" si="22"/>
        <v>0</v>
      </c>
      <c r="O67" s="263">
        <f t="shared" si="22"/>
        <v>135593</v>
      </c>
      <c r="P67" s="263">
        <f t="shared" si="22"/>
        <v>96100</v>
      </c>
      <c r="Q67" s="263">
        <f t="shared" si="22"/>
        <v>90745</v>
      </c>
      <c r="R67" s="263">
        <f t="shared" si="22"/>
        <v>0</v>
      </c>
      <c r="S67" s="263">
        <f t="shared" si="22"/>
        <v>5355</v>
      </c>
      <c r="T67" s="29"/>
      <c r="V67" s="38"/>
      <c r="W67" s="38"/>
      <c r="X67" s="38"/>
      <c r="Y67" s="38"/>
    </row>
    <row r="68" spans="2:25" s="6" customFormat="1" ht="24" hidden="1" customHeight="1" x14ac:dyDescent="0.25">
      <c r="B68" s="12">
        <f>'1 lentelė'!$B69</f>
        <v>0</v>
      </c>
      <c r="C68" s="12">
        <f>'1 lentelė'!$C69</f>
        <v>0</v>
      </c>
      <c r="D68" s="12">
        <f>'1 lentelė'!$D69</f>
        <v>0</v>
      </c>
      <c r="E68" s="12">
        <f>'1 lentelė'!$E69</f>
        <v>0</v>
      </c>
      <c r="F68" s="29"/>
      <c r="G68" s="29"/>
      <c r="H68" s="23">
        <f>'1 lentelė'!$P69</f>
        <v>0</v>
      </c>
      <c r="I68" s="23">
        <f>'1 lentelė'!$Q69</f>
        <v>0</v>
      </c>
      <c r="J68" s="23">
        <f>'1 lentelė'!$R69</f>
        <v>0</v>
      </c>
      <c r="K68" s="23">
        <f>'1 lentelė'!$S69</f>
        <v>0</v>
      </c>
      <c r="L68" s="84"/>
      <c r="M68" s="84"/>
      <c r="N68" s="84"/>
      <c r="O68" s="84"/>
      <c r="P68" s="84"/>
      <c r="Q68" s="84"/>
      <c r="R68" s="84"/>
      <c r="S68" s="84"/>
      <c r="T68" s="85"/>
    </row>
    <row r="69" spans="2:25" s="27" customFormat="1" ht="53.25" customHeight="1" x14ac:dyDescent="0.25">
      <c r="B69" s="12" t="str">
        <f>'1 lentelė'!$B70</f>
        <v>1.2.2.2.2</v>
      </c>
      <c r="C69" s="12" t="str">
        <f>'1 lentelė'!$C70</f>
        <v>R095513-500000-1214</v>
      </c>
      <c r="D69" s="12" t="str">
        <f>'1 lentelė'!$D70</f>
        <v xml:space="preserve">Visagino miesto darnaus judumo plano parengimas </v>
      </c>
      <c r="E69" s="12" t="str">
        <f>'1 lentelė'!$E70</f>
        <v>Visagino savivaldybės administracija</v>
      </c>
      <c r="F69" s="29" t="s">
        <v>65</v>
      </c>
      <c r="G69" s="29" t="s">
        <v>872</v>
      </c>
      <c r="H69" s="23">
        <f>'1 lentelė'!$P70</f>
        <v>20000</v>
      </c>
      <c r="I69" s="23">
        <f>'1 lentelė'!$Q70</f>
        <v>17000</v>
      </c>
      <c r="J69" s="23">
        <f>'1 lentelė'!$R70</f>
        <v>0</v>
      </c>
      <c r="K69" s="23">
        <f>'1 lentelė'!$S70</f>
        <v>3000</v>
      </c>
      <c r="L69" s="23">
        <v>20000</v>
      </c>
      <c r="M69" s="23">
        <v>17000</v>
      </c>
      <c r="N69" s="23">
        <v>0</v>
      </c>
      <c r="O69" s="23">
        <v>3000</v>
      </c>
      <c r="P69" s="23">
        <v>20000</v>
      </c>
      <c r="Q69" s="23">
        <v>17000</v>
      </c>
      <c r="R69" s="23">
        <v>0</v>
      </c>
      <c r="S69" s="23">
        <v>3000</v>
      </c>
      <c r="T69" s="23" t="s">
        <v>877</v>
      </c>
    </row>
    <row r="70" spans="2:25" s="27" customFormat="1" ht="51.75" customHeight="1" x14ac:dyDescent="0.25">
      <c r="B70" s="12" t="str">
        <f>'1 lentelė'!$B71</f>
        <v>1.2.2.2.3</v>
      </c>
      <c r="C70" s="12" t="str">
        <f>'1 lentelė'!$C71</f>
        <v>R095514-190000-1215</v>
      </c>
      <c r="D70" s="12" t="str">
        <f>'1 lentelė'!$D71</f>
        <v>Darnaus judumo infrastruktūros įrengimas Visagino mieste</v>
      </c>
      <c r="E70" s="12" t="str">
        <f>'1 lentelė'!$E71</f>
        <v>Visagino savivaldybės administracija</v>
      </c>
      <c r="F70" s="29" t="s">
        <v>65</v>
      </c>
      <c r="G70" s="29" t="s">
        <v>1079</v>
      </c>
      <c r="H70" s="23">
        <f>'1 lentelė'!$P71</f>
        <v>861076</v>
      </c>
      <c r="I70" s="23">
        <f>'1 lentelė'!$Q71</f>
        <v>730838</v>
      </c>
      <c r="J70" s="23">
        <f>'1 lentelė'!$R71</f>
        <v>0</v>
      </c>
      <c r="K70" s="23">
        <f>'1 lentelė'!$S71</f>
        <v>130238</v>
      </c>
      <c r="L70" s="23">
        <f>H70</f>
        <v>861076</v>
      </c>
      <c r="M70" s="23">
        <f t="shared" ref="M70:O70" si="23">I70</f>
        <v>730838</v>
      </c>
      <c r="N70" s="23">
        <f t="shared" si="23"/>
        <v>0</v>
      </c>
      <c r="O70" s="23">
        <f t="shared" si="23"/>
        <v>130238</v>
      </c>
      <c r="P70" s="84">
        <v>60400</v>
      </c>
      <c r="Q70" s="84">
        <v>60400</v>
      </c>
      <c r="R70" s="84">
        <v>0</v>
      </c>
      <c r="S70" s="84">
        <v>0</v>
      </c>
      <c r="T70" s="85"/>
    </row>
    <row r="71" spans="2:25" s="27" customFormat="1" ht="49.5" customHeight="1" x14ac:dyDescent="0.25">
      <c r="B71" s="12" t="str">
        <f>'1 lentelė'!$B72</f>
        <v>1.2.2.2.4</v>
      </c>
      <c r="C71" s="12" t="str">
        <f>'1 lentelė'!$C72</f>
        <v>R095513-500000-1216</v>
      </c>
      <c r="D71" s="12" t="str">
        <f>'1 lentelė'!$D72</f>
        <v>Darnaus judumo Utenos mieste plano rengimas</v>
      </c>
      <c r="E71" s="12" t="str">
        <f>'1 lentelė'!$E72</f>
        <v>Utenos rajono savivaldybės administracija</v>
      </c>
      <c r="F71" s="29" t="s">
        <v>66</v>
      </c>
      <c r="G71" s="29" t="s">
        <v>872</v>
      </c>
      <c r="H71" s="23">
        <f>'1 lentelė'!$P72</f>
        <v>15700</v>
      </c>
      <c r="I71" s="23">
        <f>'1 lentelė'!$Q72</f>
        <v>13345</v>
      </c>
      <c r="J71" s="23">
        <f>'1 lentelė'!$R72</f>
        <v>0</v>
      </c>
      <c r="K71" s="23">
        <f>'1 lentelė'!$S72</f>
        <v>2355</v>
      </c>
      <c r="L71" s="23">
        <v>15700</v>
      </c>
      <c r="M71" s="23">
        <v>13345</v>
      </c>
      <c r="N71" s="23">
        <v>0</v>
      </c>
      <c r="O71" s="23">
        <v>2355</v>
      </c>
      <c r="P71" s="23">
        <v>15700</v>
      </c>
      <c r="Q71" s="23">
        <v>13345</v>
      </c>
      <c r="R71" s="23">
        <v>0</v>
      </c>
      <c r="S71" s="23">
        <v>2355</v>
      </c>
      <c r="T71" s="23" t="s">
        <v>878</v>
      </c>
    </row>
    <row r="72" spans="2:25" s="27" customFormat="1" ht="53.25" customHeight="1" x14ac:dyDescent="0.25">
      <c r="B72" s="12" t="str">
        <f>'1 lentelė'!$B73</f>
        <v>1.2.2.2.5</v>
      </c>
      <c r="C72" s="12" t="str">
        <f>'1 lentelė'!$C73</f>
        <v>R095514-190000-1217</v>
      </c>
      <c r="D72" s="12" t="str">
        <f>'1 lentelė'!$D73</f>
        <v>Utenos miesto darnaus judumo plano priemonių diegimas</v>
      </c>
      <c r="E72" s="12" t="str">
        <f>'1 lentelė'!$E73</f>
        <v>Utenos rajono savivaldybės administracija</v>
      </c>
      <c r="F72" s="29" t="s">
        <v>66</v>
      </c>
      <c r="G72" s="29" t="s">
        <v>66</v>
      </c>
      <c r="H72" s="23">
        <f>'1 lentelė'!$P73</f>
        <v>672787.06</v>
      </c>
      <c r="I72" s="23">
        <f>'1 lentelė'!$Q73</f>
        <v>571869</v>
      </c>
      <c r="J72" s="23">
        <f>'1 lentelė'!$R73</f>
        <v>0</v>
      </c>
      <c r="K72" s="23">
        <f>'1 lentelė'!$S73</f>
        <v>100918.06</v>
      </c>
      <c r="L72" s="23">
        <v>0</v>
      </c>
      <c r="M72" s="23">
        <v>0</v>
      </c>
      <c r="N72" s="23">
        <v>0</v>
      </c>
      <c r="O72" s="23">
        <v>0</v>
      </c>
      <c r="P72" s="23">
        <v>0</v>
      </c>
      <c r="Q72" s="23">
        <v>0</v>
      </c>
      <c r="R72" s="23">
        <v>0</v>
      </c>
      <c r="S72" s="23">
        <v>0</v>
      </c>
      <c r="T72" s="23"/>
      <c r="X72" s="88"/>
    </row>
    <row r="73" spans="2:25" s="6" customFormat="1" ht="115.5" customHeight="1" x14ac:dyDescent="0.25">
      <c r="B73" s="44" t="str">
        <f>'1 lentelė'!$B74</f>
        <v>1.2.2.3</v>
      </c>
      <c r="C73" s="232" t="s">
        <v>263</v>
      </c>
      <c r="D73" s="76" t="str">
        <f>'1 lentelė'!$D74</f>
        <v>Priemonė: Vietinio susisiekimo viešojo transporto priemonių parko atnaujinimas</v>
      </c>
      <c r="E73" s="44"/>
      <c r="F73" s="44"/>
      <c r="G73" s="44"/>
      <c r="H73" s="284">
        <f>H74</f>
        <v>1191647</v>
      </c>
      <c r="I73" s="284">
        <f t="shared" ref="I73:K73" si="24">I74</f>
        <v>1012900</v>
      </c>
      <c r="J73" s="284">
        <f t="shared" si="24"/>
        <v>0</v>
      </c>
      <c r="K73" s="284">
        <f t="shared" si="24"/>
        <v>178747</v>
      </c>
      <c r="L73" s="285">
        <f t="shared" ref="L73:S73" si="25">SUM(L74)</f>
        <v>0</v>
      </c>
      <c r="M73" s="285">
        <f t="shared" si="25"/>
        <v>0</v>
      </c>
      <c r="N73" s="285">
        <f t="shared" si="25"/>
        <v>0</v>
      </c>
      <c r="O73" s="285">
        <f t="shared" si="25"/>
        <v>0</v>
      </c>
      <c r="P73" s="285">
        <f t="shared" si="25"/>
        <v>0</v>
      </c>
      <c r="Q73" s="285">
        <f t="shared" si="25"/>
        <v>0</v>
      </c>
      <c r="R73" s="285">
        <f t="shared" si="25"/>
        <v>0</v>
      </c>
      <c r="S73" s="285">
        <f t="shared" si="25"/>
        <v>0</v>
      </c>
      <c r="T73" s="262"/>
    </row>
    <row r="74" spans="2:25" s="6" customFormat="1" ht="92.25" customHeight="1" x14ac:dyDescent="0.25">
      <c r="B74" s="12" t="str">
        <f>'1 lentelė'!B75</f>
        <v>1.2.2.3.3</v>
      </c>
      <c r="C74" s="12" t="str">
        <f>'1 lentelė'!C75</f>
        <v>R095518-100000-1219</v>
      </c>
      <c r="D74" s="12" t="str">
        <f>'1 lentelė'!D75</f>
        <v>Utenos rajono vietinio susisiekimo viešojo transporto priemonių parko atnaujinimas</v>
      </c>
      <c r="E74" s="12" t="str">
        <f>'1 lentelė'!E75</f>
        <v>Utenos rajono savivaldybės administracija</v>
      </c>
      <c r="F74" s="29" t="s">
        <v>66</v>
      </c>
      <c r="G74" s="29" t="s">
        <v>66</v>
      </c>
      <c r="H74" s="83">
        <f>'1 lentelė'!P75</f>
        <v>1191647</v>
      </c>
      <c r="I74" s="23">
        <f>'1 lentelė'!Q75</f>
        <v>1012900</v>
      </c>
      <c r="J74" s="23">
        <v>0</v>
      </c>
      <c r="K74" s="23">
        <f>'1 lentelė'!S75</f>
        <v>178747</v>
      </c>
      <c r="L74" s="23">
        <v>0</v>
      </c>
      <c r="M74" s="23">
        <v>0</v>
      </c>
      <c r="N74" s="23">
        <v>0</v>
      </c>
      <c r="O74" s="23">
        <v>0</v>
      </c>
      <c r="P74" s="23">
        <v>0</v>
      </c>
      <c r="Q74" s="23">
        <v>0</v>
      </c>
      <c r="R74" s="23">
        <v>0</v>
      </c>
      <c r="S74" s="23">
        <v>0</v>
      </c>
      <c r="T74" s="85"/>
    </row>
    <row r="75" spans="2:25" s="6" customFormat="1" ht="43.5" customHeight="1" x14ac:dyDescent="0.25">
      <c r="B75" s="73" t="str">
        <f>'1 lentelė'!$B76</f>
        <v>2.</v>
      </c>
      <c r="C75" s="73"/>
      <c r="D75" s="73" t="str">
        <f>'1 lentelė'!$D76</f>
        <v>Prioritetas: Integrali ekonomika</v>
      </c>
      <c r="E75" s="73"/>
      <c r="F75" s="73"/>
      <c r="G75" s="73"/>
      <c r="H75" s="73"/>
      <c r="I75" s="73"/>
      <c r="J75" s="73"/>
      <c r="K75" s="73"/>
      <c r="L75" s="73"/>
      <c r="M75" s="73"/>
      <c r="N75" s="73"/>
      <c r="O75" s="73"/>
      <c r="P75" s="73"/>
      <c r="Q75" s="73"/>
      <c r="R75" s="73"/>
      <c r="S75" s="73"/>
      <c r="T75" s="15"/>
    </row>
    <row r="76" spans="2:25" s="6" customFormat="1" ht="76.5" customHeight="1" x14ac:dyDescent="0.25">
      <c r="B76" s="74" t="str">
        <f>'1 lentelė'!$B77</f>
        <v xml:space="preserve">2.1 </v>
      </c>
      <c r="C76" s="74"/>
      <c r="D76" s="45" t="str">
        <f>'1 lentelė'!$D77</f>
        <v>Tikslas: Turizmo infrastruktūros, kultūros ir gamtos paveldo plėtra</v>
      </c>
      <c r="E76" s="74"/>
      <c r="F76" s="74"/>
      <c r="G76" s="74"/>
      <c r="H76" s="74"/>
      <c r="I76" s="74"/>
      <c r="J76" s="74"/>
      <c r="K76" s="74"/>
      <c r="L76" s="74"/>
      <c r="M76" s="74"/>
      <c r="N76" s="74"/>
      <c r="O76" s="74"/>
      <c r="P76" s="74"/>
      <c r="Q76" s="74"/>
      <c r="R76" s="74"/>
      <c r="S76" s="74"/>
      <c r="T76" s="16"/>
    </row>
    <row r="77" spans="2:25" s="6" customFormat="1" ht="63.75" customHeight="1" x14ac:dyDescent="0.25">
      <c r="B77" s="42" t="str">
        <f>'1 lentelė'!$B78</f>
        <v xml:space="preserve">2.1.1 </v>
      </c>
      <c r="C77" s="42"/>
      <c r="D77" s="42" t="str">
        <f>'1 lentelė'!$D78</f>
        <v>Uždavinys: Sutvarkyti ir aktualizuoti kultūros paveldo plėtrą</v>
      </c>
      <c r="E77" s="42"/>
      <c r="F77" s="42"/>
      <c r="G77" s="42"/>
      <c r="H77" s="42"/>
      <c r="I77" s="42"/>
      <c r="J77" s="42"/>
      <c r="K77" s="42"/>
      <c r="L77" s="42"/>
      <c r="M77" s="42"/>
      <c r="N77" s="42"/>
      <c r="O77" s="42"/>
      <c r="P77" s="42"/>
      <c r="Q77" s="42"/>
      <c r="R77" s="42"/>
      <c r="S77" s="42"/>
      <c r="T77" s="20"/>
    </row>
    <row r="78" spans="2:25" s="6" customFormat="1" ht="81" customHeight="1" x14ac:dyDescent="0.25">
      <c r="B78" s="44" t="str">
        <f>'1 lentelė'!$B79</f>
        <v>2.1.1.1</v>
      </c>
      <c r="C78" s="232" t="s">
        <v>276</v>
      </c>
      <c r="D78" s="76" t="str">
        <f>'1 lentelė'!$D79</f>
        <v>Priemonė: Aktualizuoti savivaldybių kultūros paveldo objektus</v>
      </c>
      <c r="E78" s="44"/>
      <c r="F78" s="44"/>
      <c r="G78" s="44"/>
      <c r="H78" s="263">
        <f>SUM(H79:H82)</f>
        <v>1493838.7</v>
      </c>
      <c r="I78" s="263">
        <f t="shared" ref="I78:S78" si="26">SUM(I79:I82)</f>
        <v>1181527.93</v>
      </c>
      <c r="J78" s="263">
        <f t="shared" si="26"/>
        <v>0</v>
      </c>
      <c r="K78" s="263">
        <f t="shared" si="26"/>
        <v>312310.77</v>
      </c>
      <c r="L78" s="263">
        <f t="shared" si="26"/>
        <v>1463952.78</v>
      </c>
      <c r="M78" s="263">
        <f t="shared" si="26"/>
        <v>1165555.3500000001</v>
      </c>
      <c r="N78" s="263">
        <f t="shared" si="26"/>
        <v>0</v>
      </c>
      <c r="O78" s="263">
        <f t="shared" si="26"/>
        <v>298397.43</v>
      </c>
      <c r="P78" s="263">
        <f t="shared" si="26"/>
        <v>1025303.3500000001</v>
      </c>
      <c r="Q78" s="263">
        <f t="shared" si="26"/>
        <v>851530.08000000007</v>
      </c>
      <c r="R78" s="263">
        <f t="shared" si="26"/>
        <v>0</v>
      </c>
      <c r="S78" s="263">
        <f t="shared" si="26"/>
        <v>173773.27000000005</v>
      </c>
      <c r="T78" s="29"/>
    </row>
    <row r="79" spans="2:25" s="222" customFormat="1" ht="99.75" customHeight="1" x14ac:dyDescent="0.25">
      <c r="B79" s="12" t="str">
        <f>'1 lentelė'!$B80</f>
        <v>2.1.1.1.1</v>
      </c>
      <c r="C79" s="12" t="str">
        <f>'1 lentelė'!$C80</f>
        <v>R093302-442942-2101</v>
      </c>
      <c r="D79" s="12" t="str">
        <f>'1 lentelė'!$D80</f>
        <v xml:space="preserve">Kompleksinis Okuličiūtės dvarelio Anykščiuose sutvarkymas ir pritaikymas kultūrinei, meninei veiklai </v>
      </c>
      <c r="E79" s="12" t="str">
        <f>'1 lentelė'!$E80</f>
        <v>Anykščių rajono savivaldybės administracija</v>
      </c>
      <c r="F79" s="29" t="s">
        <v>65</v>
      </c>
      <c r="G79" s="29" t="s">
        <v>1079</v>
      </c>
      <c r="H79" s="26">
        <f>'1 lentelė'!$P80</f>
        <v>493252.18</v>
      </c>
      <c r="I79" s="26">
        <f>'1 lentelė'!$Q80</f>
        <v>419264.35</v>
      </c>
      <c r="J79" s="26">
        <f>'1 lentelė'!$R80</f>
        <v>0</v>
      </c>
      <c r="K79" s="26">
        <f>'1 lentelė'!$S80</f>
        <v>73987.830000000016</v>
      </c>
      <c r="L79" s="26">
        <v>493252.18</v>
      </c>
      <c r="M79" s="26">
        <v>419264.35</v>
      </c>
      <c r="N79" s="26">
        <v>0</v>
      </c>
      <c r="O79" s="26">
        <v>73987.83</v>
      </c>
      <c r="P79" s="270">
        <v>395891.83</v>
      </c>
      <c r="Q79" s="26">
        <v>336508.05</v>
      </c>
      <c r="R79" s="26">
        <v>0</v>
      </c>
      <c r="S79" s="270">
        <f>P79-Q79</f>
        <v>59383.780000000028</v>
      </c>
      <c r="T79" s="65"/>
    </row>
    <row r="80" spans="2:25" s="222" customFormat="1" ht="114" customHeight="1" x14ac:dyDescent="0.25">
      <c r="B80" s="12" t="str">
        <f>'1 lentelė'!$B81</f>
        <v xml:space="preserve">2.1.1.1.2 </v>
      </c>
      <c r="C80" s="12" t="str">
        <f>'1 lentelė'!$C81</f>
        <v>R093302-440000-2102</v>
      </c>
      <c r="D80" s="12" t="str">
        <f>'1 lentelė'!$D81</f>
        <v xml:space="preserve">Naujų kultūros paslaugų visuomenės kultūriniams poreikiams tenkinti sukūrimas Utenos meno mokykloje </v>
      </c>
      <c r="E80" s="12" t="str">
        <f>'1 lentelė'!$E81</f>
        <v xml:space="preserve">Pareiškėjas –Utenos rajono savivaldybės administracija, partneris – Utenos dailės mokykla </v>
      </c>
      <c r="F80" s="29" t="s">
        <v>30</v>
      </c>
      <c r="G80" s="29" t="s">
        <v>872</v>
      </c>
      <c r="H80" s="26">
        <f>'1 lentelė'!$P81</f>
        <v>212596.85</v>
      </c>
      <c r="I80" s="26">
        <f>'1 lentelė'!$Q81</f>
        <v>180707.32</v>
      </c>
      <c r="J80" s="26">
        <f>'1 lentelė'!$R81</f>
        <v>0</v>
      </c>
      <c r="K80" s="26">
        <f>'1 lentelė'!$S81</f>
        <v>31889.53</v>
      </c>
      <c r="L80" s="26">
        <v>282956.7</v>
      </c>
      <c r="M80" s="26">
        <v>240513.19</v>
      </c>
      <c r="N80" s="26">
        <v>0</v>
      </c>
      <c r="O80" s="26">
        <v>42443.51</v>
      </c>
      <c r="P80" s="26">
        <v>212596.85</v>
      </c>
      <c r="Q80" s="26">
        <v>180707.32</v>
      </c>
      <c r="R80" s="26">
        <v>0</v>
      </c>
      <c r="S80" s="26">
        <f>P80-Q80</f>
        <v>31889.53</v>
      </c>
      <c r="T80" s="23" t="s">
        <v>1180</v>
      </c>
    </row>
    <row r="81" spans="1:24" s="222" customFormat="1" ht="111" customHeight="1" x14ac:dyDescent="0.25">
      <c r="B81" s="12" t="str">
        <f>'1 lentelė'!$B82</f>
        <v>2.1.1.1.3</v>
      </c>
      <c r="C81" s="12" t="str">
        <f>'1 lentelė'!$C82</f>
        <v>R093302-440000-2103</v>
      </c>
      <c r="D81" s="12" t="str">
        <f>'1 lentelė'!$D82</f>
        <v>Atgailos kanauninkų vienuolyno namo kapitalinis remontas pritaikant amatų centro ir bendruomenės poreikiams</v>
      </c>
      <c r="E81" s="12" t="str">
        <f>'1 lentelė'!$E82</f>
        <v>Molėtų rajono savivaldybės administracija</v>
      </c>
      <c r="F81" s="29" t="s">
        <v>66</v>
      </c>
      <c r="G81" s="29" t="s">
        <v>1079</v>
      </c>
      <c r="H81" s="26">
        <f>'1 lentelė'!$P82</f>
        <v>370728.92</v>
      </c>
      <c r="I81" s="26">
        <f>'1 lentelė'!$Q82</f>
        <v>296836.45</v>
      </c>
      <c r="J81" s="26">
        <f>'1 lentelė'!$R82</f>
        <v>0</v>
      </c>
      <c r="K81" s="26">
        <f>'1 lentelė'!$S82</f>
        <v>73892.47</v>
      </c>
      <c r="L81" s="26">
        <v>270483.15000000002</v>
      </c>
      <c r="M81" s="26">
        <v>221058</v>
      </c>
      <c r="N81" s="26">
        <v>0</v>
      </c>
      <c r="O81" s="26">
        <v>49425.15</v>
      </c>
      <c r="P81" s="270">
        <v>210850.66</v>
      </c>
      <c r="Q81" s="26">
        <v>177891.94</v>
      </c>
      <c r="R81" s="26">
        <v>0</v>
      </c>
      <c r="S81" s="270">
        <f>P81-Q81</f>
        <v>32958.720000000001</v>
      </c>
      <c r="T81" s="65"/>
    </row>
    <row r="82" spans="1:24" s="223" customFormat="1" ht="73.5" customHeight="1" x14ac:dyDescent="0.25">
      <c r="B82" s="12" t="str">
        <f>'1 lentelė'!$B83</f>
        <v>2.1.1.1.4</v>
      </c>
      <c r="C82" s="208" t="str">
        <f>'1 lentelė'!$C83</f>
        <v>R093302-442942-2104</v>
      </c>
      <c r="D82" s="208" t="str">
        <f>'1 lentelė'!$D83</f>
        <v>Valstybės saugomo kultūros paveldo objekto – Antazavės dvaro aktualizavimas</v>
      </c>
      <c r="E82" s="208" t="str">
        <f>'1 lentelė'!$E83</f>
        <v>Zarasų rajono savivaldybės administracija</v>
      </c>
      <c r="F82" s="192" t="s">
        <v>66</v>
      </c>
      <c r="G82" s="192" t="s">
        <v>1079</v>
      </c>
      <c r="H82" s="201">
        <f>'1 lentelė'!$P83</f>
        <v>417260.75</v>
      </c>
      <c r="I82" s="201">
        <f>'1 lentelė'!$Q83</f>
        <v>284719.81</v>
      </c>
      <c r="J82" s="201">
        <f>'1 lentelė'!$R83</f>
        <v>0</v>
      </c>
      <c r="K82" s="201">
        <f>'1 lentelė'!$S83</f>
        <v>132540.94</v>
      </c>
      <c r="L82" s="201">
        <v>417260.75</v>
      </c>
      <c r="M82" s="201">
        <v>284719.81</v>
      </c>
      <c r="N82" s="201">
        <v>0</v>
      </c>
      <c r="O82" s="201">
        <f>L82-M82</f>
        <v>132540.94</v>
      </c>
      <c r="P82" s="271">
        <v>205964.01</v>
      </c>
      <c r="Q82" s="271">
        <v>156422.76999999999</v>
      </c>
      <c r="R82" s="201">
        <v>0</v>
      </c>
      <c r="S82" s="271">
        <f>P82-Q82</f>
        <v>49541.24000000002</v>
      </c>
      <c r="T82" s="201"/>
    </row>
    <row r="83" spans="1:24" s="6" customFormat="1" ht="67.5" customHeight="1" x14ac:dyDescent="0.25">
      <c r="B83" s="42" t="str">
        <f>'1 lentelė'!$B84</f>
        <v>2.1.2</v>
      </c>
      <c r="C83" s="42"/>
      <c r="D83" s="42" t="str">
        <f>'1 lentelė'!$D84</f>
        <v>Uždavinys: Plėtoti turizmo išteklių ir paslaugų rinkodarą</v>
      </c>
      <c r="E83" s="42"/>
      <c r="F83" s="42"/>
      <c r="G83" s="42"/>
      <c r="H83" s="42"/>
      <c r="I83" s="42"/>
      <c r="J83" s="42"/>
      <c r="K83" s="42"/>
      <c r="L83" s="42"/>
      <c r="M83" s="42"/>
      <c r="N83" s="42"/>
      <c r="O83" s="42"/>
      <c r="P83" s="42"/>
      <c r="Q83" s="42"/>
      <c r="R83" s="42"/>
      <c r="S83" s="42"/>
      <c r="T83" s="20"/>
    </row>
    <row r="84" spans="1:24" s="6" customFormat="1" ht="123" customHeight="1" x14ac:dyDescent="0.25">
      <c r="B84" s="44" t="str">
        <f>'1 lentelė'!$B85</f>
        <v>2.1.2.1</v>
      </c>
      <c r="C84" s="232" t="s">
        <v>297</v>
      </c>
      <c r="D84" s="76" t="str">
        <f>'1 lentelė'!$D85</f>
        <v>Priemonė: Savivaldybes jungiančių turizmo trasų ir turizmo maršrutų informacinės infrastruktūros plėtra</v>
      </c>
      <c r="E84" s="44"/>
      <c r="F84" s="44"/>
      <c r="G84" s="44"/>
      <c r="H84" s="263">
        <f>H86+H87+H88</f>
        <v>971293.24000000011</v>
      </c>
      <c r="I84" s="263">
        <f t="shared" ref="I84:S84" si="27">I86+I87+I88</f>
        <v>825598.65</v>
      </c>
      <c r="J84" s="263">
        <f t="shared" si="27"/>
        <v>0</v>
      </c>
      <c r="K84" s="263">
        <f t="shared" si="27"/>
        <v>145694.59000000003</v>
      </c>
      <c r="L84" s="263">
        <f>L86+L87+L88</f>
        <v>332497.71000000002</v>
      </c>
      <c r="M84" s="263">
        <f t="shared" si="27"/>
        <v>282623.05</v>
      </c>
      <c r="N84" s="263">
        <f t="shared" si="27"/>
        <v>0</v>
      </c>
      <c r="O84" s="263">
        <f t="shared" si="27"/>
        <v>49874.660000000033</v>
      </c>
      <c r="P84" s="263">
        <f t="shared" si="27"/>
        <v>0</v>
      </c>
      <c r="Q84" s="263">
        <f t="shared" si="27"/>
        <v>0</v>
      </c>
      <c r="R84" s="263">
        <f t="shared" si="27"/>
        <v>0</v>
      </c>
      <c r="S84" s="263">
        <f t="shared" si="27"/>
        <v>0</v>
      </c>
      <c r="T84" s="29"/>
    </row>
    <row r="85" spans="1:24" s="6" customFormat="1" ht="15.75" hidden="1" customHeight="1" x14ac:dyDescent="0.25">
      <c r="B85" s="12"/>
      <c r="C85" s="12"/>
      <c r="D85" s="12"/>
      <c r="E85" s="12"/>
      <c r="F85" s="12"/>
      <c r="G85" s="12"/>
      <c r="H85" s="12"/>
      <c r="I85" s="12"/>
      <c r="J85" s="12"/>
      <c r="K85" s="12"/>
      <c r="L85" s="12"/>
      <c r="M85" s="12"/>
      <c r="N85" s="12"/>
      <c r="O85" s="12"/>
      <c r="P85" s="12"/>
      <c r="Q85" s="12"/>
      <c r="R85" s="12"/>
      <c r="S85" s="12"/>
      <c r="T85" s="12"/>
    </row>
    <row r="86" spans="1:24" s="6" customFormat="1" ht="82.5" customHeight="1" x14ac:dyDescent="0.25">
      <c r="B86" s="12" t="str">
        <f>'1 lentelė'!B86</f>
        <v xml:space="preserve">2.1.2.1.2 </v>
      </c>
      <c r="C86" s="12" t="str">
        <f>'1 lentelė'!C86</f>
        <v>R098821-420000-2106</v>
      </c>
      <c r="D86" s="12" t="str">
        <f>'1 lentelė'!D86</f>
        <v>Informacinės infrastruktūros plėtra Ignalinos, Molėtų ir Utenos rajonuose</v>
      </c>
      <c r="E86" s="12" t="str">
        <f>'1 lentelė'!E86</f>
        <v>Ignalinos rajono savivaldybės administracija</v>
      </c>
      <c r="F86" s="12" t="str">
        <f>'1 lentelė'!F86</f>
        <v xml:space="preserve">Lietuvos Respublikos ūkio ministerija </v>
      </c>
      <c r="G86" s="293" t="s">
        <v>1079</v>
      </c>
      <c r="H86" s="12">
        <f>'1 lentelė'!P86</f>
        <v>332497.71000000002</v>
      </c>
      <c r="I86" s="12">
        <f>'1 lentelė'!Q86</f>
        <v>282623.05</v>
      </c>
      <c r="J86" s="12">
        <f>'1 lentelė'!R86</f>
        <v>0</v>
      </c>
      <c r="K86" s="12">
        <f>'1 lentelė'!S86</f>
        <v>49874.660000000033</v>
      </c>
      <c r="L86" s="12">
        <v>332497.71000000002</v>
      </c>
      <c r="M86" s="12">
        <v>282623.05</v>
      </c>
      <c r="N86" s="12">
        <v>0</v>
      </c>
      <c r="O86" s="12">
        <v>49874.660000000033</v>
      </c>
      <c r="P86" s="12">
        <v>0</v>
      </c>
      <c r="Q86" s="12">
        <v>0</v>
      </c>
      <c r="R86" s="12">
        <v>0</v>
      </c>
      <c r="S86" s="12">
        <v>0</v>
      </c>
      <c r="T86" s="12"/>
    </row>
    <row r="87" spans="1:24" s="6" customFormat="1" ht="82.5" customHeight="1" x14ac:dyDescent="0.25">
      <c r="B87" s="12" t="str">
        <f>'1 lentelė'!B89</f>
        <v>2.1.2.1.3</v>
      </c>
      <c r="C87" s="12" t="str">
        <f>'1 lentelė'!C89</f>
        <v>R098821-420000-2107</v>
      </c>
      <c r="D87" s="12" t="str">
        <f>'1 lentelė'!D89</f>
        <v>Taktiliniai maketai turistui po atviru dangumi</v>
      </c>
      <c r="E87" s="12" t="str">
        <f>'1 lentelė'!E89</f>
        <v>Anykščių  rajono savivaldybės administracija</v>
      </c>
      <c r="F87" s="12" t="str">
        <f>'1 lentelė'!F89</f>
        <v xml:space="preserve">Lietuvos Respublikos ūkio ministerija </v>
      </c>
      <c r="G87" s="293" t="s">
        <v>1522</v>
      </c>
      <c r="H87" s="12">
        <f>'1 lentelė'!P89</f>
        <v>340463.14</v>
      </c>
      <c r="I87" s="12">
        <f>'1 lentelė'!Q89</f>
        <v>289393.07</v>
      </c>
      <c r="J87" s="12">
        <f>'1 lentelė'!R89</f>
        <v>0</v>
      </c>
      <c r="K87" s="12">
        <f>'1 lentelė'!S89</f>
        <v>51070.07</v>
      </c>
      <c r="L87" s="12">
        <v>0</v>
      </c>
      <c r="M87" s="12">
        <v>0</v>
      </c>
      <c r="N87" s="12">
        <v>0</v>
      </c>
      <c r="O87" s="12">
        <v>0</v>
      </c>
      <c r="P87" s="12">
        <v>0</v>
      </c>
      <c r="Q87" s="12">
        <v>0</v>
      </c>
      <c r="R87" s="12">
        <v>0</v>
      </c>
      <c r="S87" s="12">
        <v>0</v>
      </c>
      <c r="T87" s="12"/>
    </row>
    <row r="88" spans="1:24" s="6" customFormat="1" ht="82.5" customHeight="1" x14ac:dyDescent="0.25">
      <c r="B88" s="12" t="str">
        <f>'1 lentelė'!B90</f>
        <v>2.1.2.1.4</v>
      </c>
      <c r="C88" s="12" t="str">
        <f>'1 lentelė'!C90</f>
        <v>R098821-420000-2108</v>
      </c>
      <c r="D88" s="12" t="str">
        <f>'1 lentelė'!D90</f>
        <v>Turizmo informacinės infrastruktūros plėtra Utenos, Ignalinos, Zarasų rajonų ir Visagino savivaldybėse</v>
      </c>
      <c r="E88" s="12" t="str">
        <f>'1 lentelė'!E90</f>
        <v>Utenos rajono savivaldybės administracija</v>
      </c>
      <c r="F88" s="12" t="str">
        <f>'1 lentelė'!F90</f>
        <v>Lietuvos Respublikos ekonomikos ir inovacijų ministerija</v>
      </c>
      <c r="G88" s="293" t="s">
        <v>1522</v>
      </c>
      <c r="H88" s="12">
        <f>'1 lentelė'!P90</f>
        <v>298332.39</v>
      </c>
      <c r="I88" s="12">
        <f>'1 lentelė'!Q90</f>
        <v>253582.53</v>
      </c>
      <c r="J88" s="12">
        <f>'1 lentelė'!R90</f>
        <v>0</v>
      </c>
      <c r="K88" s="12">
        <f>'1 lentelė'!S90</f>
        <v>44749.86</v>
      </c>
      <c r="L88" s="12">
        <v>0</v>
      </c>
      <c r="M88" s="12">
        <v>0</v>
      </c>
      <c r="N88" s="12">
        <v>0</v>
      </c>
      <c r="O88" s="12">
        <v>0</v>
      </c>
      <c r="P88" s="12">
        <v>0</v>
      </c>
      <c r="Q88" s="12">
        <v>0</v>
      </c>
      <c r="R88" s="12">
        <v>0</v>
      </c>
      <c r="S88" s="12">
        <v>0</v>
      </c>
      <c r="T88" s="12"/>
    </row>
    <row r="89" spans="1:24" s="6" customFormat="1" ht="117" customHeight="1" x14ac:dyDescent="0.25">
      <c r="B89" s="74" t="str">
        <f>'1 lentelė'!$B90</f>
        <v>2.1.2.1.4</v>
      </c>
      <c r="C89" s="74"/>
      <c r="D89" s="45" t="str">
        <f>'1 lentelė'!$D90</f>
        <v>Turizmo informacinės infrastruktūros plėtra Utenos, Ignalinos, Zarasų rajonų ir Visagino savivaldybėse</v>
      </c>
      <c r="E89" s="74"/>
      <c r="F89" s="74"/>
      <c r="G89" s="74"/>
      <c r="H89" s="74"/>
      <c r="I89" s="74"/>
      <c r="J89" s="74"/>
      <c r="K89" s="74"/>
      <c r="L89" s="74"/>
      <c r="M89" s="74"/>
      <c r="N89" s="74"/>
      <c r="O89" s="74"/>
      <c r="P89" s="74"/>
      <c r="Q89" s="74"/>
      <c r="R89" s="74"/>
      <c r="S89" s="74"/>
      <c r="T89" s="16"/>
    </row>
    <row r="90" spans="1:24" s="6" customFormat="1" ht="144.75" customHeight="1" x14ac:dyDescent="0.25">
      <c r="B90" s="42" t="str">
        <f>'1 lentelė'!$B92</f>
        <v>2.2.1</v>
      </c>
      <c r="C90" s="42"/>
      <c r="D90" s="42" t="str">
        <f>'1 lentelė'!$D92</f>
        <v>Uždavinys: Plėtoti tvarią šilumos energijos, vandens tiekimo, nuotekų šalinimo ir atliekų tvarkymo sistemą</v>
      </c>
      <c r="E90" s="42"/>
      <c r="F90" s="42"/>
      <c r="G90" s="42"/>
      <c r="H90" s="42"/>
      <c r="I90" s="42"/>
      <c r="J90" s="42"/>
      <c r="K90" s="42"/>
      <c r="L90" s="42"/>
      <c r="M90" s="42"/>
      <c r="N90" s="42"/>
      <c r="O90" s="42"/>
      <c r="P90" s="42"/>
      <c r="Q90" s="42"/>
      <c r="R90" s="42"/>
      <c r="S90" s="42"/>
      <c r="T90" s="20"/>
    </row>
    <row r="91" spans="1:24" s="6" customFormat="1" ht="165" customHeight="1" x14ac:dyDescent="0.25">
      <c r="B91" s="44" t="str">
        <f>'1 lentelė'!$B93</f>
        <v>2.2.1.1</v>
      </c>
      <c r="C91" s="232" t="s">
        <v>312</v>
      </c>
      <c r="D91" s="76" t="str">
        <f>'1 lentelė'!$D93</f>
        <v>Priemonė: Geriamojo vandens tiekimo ir nuotekų tvarkymo sistemų renovavimas ir plėtra, įmonių valdymo tobulinimas</v>
      </c>
      <c r="E91" s="44"/>
      <c r="F91" s="44"/>
      <c r="G91" s="44"/>
      <c r="H91" s="263">
        <f>SUM(H92:H102)</f>
        <v>14893271.4</v>
      </c>
      <c r="I91" s="263">
        <f t="shared" ref="I91:S91" si="28">SUM(I92:I102)</f>
        <v>8830993.7300000004</v>
      </c>
      <c r="J91" s="263">
        <f t="shared" si="28"/>
        <v>0</v>
      </c>
      <c r="K91" s="263">
        <f t="shared" si="28"/>
        <v>6062277.6700000009</v>
      </c>
      <c r="L91" s="263">
        <f t="shared" si="28"/>
        <v>14494100.950000001</v>
      </c>
      <c r="M91" s="263">
        <f t="shared" si="28"/>
        <v>8665642.040000001</v>
      </c>
      <c r="N91" s="263">
        <f t="shared" si="28"/>
        <v>0</v>
      </c>
      <c r="O91" s="263">
        <f t="shared" si="28"/>
        <v>2909961.16</v>
      </c>
      <c r="P91" s="263">
        <f t="shared" si="28"/>
        <v>22463872.570000004</v>
      </c>
      <c r="Q91" s="263">
        <f t="shared" si="28"/>
        <v>7372371.5100000007</v>
      </c>
      <c r="R91" s="263">
        <f t="shared" si="28"/>
        <v>0</v>
      </c>
      <c r="S91" s="263">
        <f t="shared" si="28"/>
        <v>15091501.060000002</v>
      </c>
      <c r="T91" s="29"/>
    </row>
    <row r="92" spans="1:24" s="222" customFormat="1" ht="75" customHeight="1" x14ac:dyDescent="0.25">
      <c r="A92" s="27"/>
      <c r="B92" s="12" t="str">
        <f>'1 lentelė'!$B94</f>
        <v>2.2.1.1.1</v>
      </c>
      <c r="C92" s="12" t="str">
        <f>'1 lentelė'!$C94</f>
        <v>R090014-060700-2201</v>
      </c>
      <c r="D92" s="12" t="str">
        <f>'1 lentelė'!$D94</f>
        <v xml:space="preserve">Vandens tiekimo ir nuotekų tvarkymo infrastruktūros plėtra Ignalinos rajone </v>
      </c>
      <c r="E92" s="12" t="str">
        <f>'1 lentelė'!$E94</f>
        <v>UAB „Ignalinos vanduo“</v>
      </c>
      <c r="F92" s="29" t="s">
        <v>66</v>
      </c>
      <c r="G92" s="29" t="s">
        <v>1079</v>
      </c>
      <c r="H92" s="26">
        <f>'1 lentelė'!$P94</f>
        <v>1392800</v>
      </c>
      <c r="I92" s="26">
        <f>'1 lentelė'!$Q94</f>
        <v>789008.78</v>
      </c>
      <c r="J92" s="26">
        <f>'1 lentelė'!$R94</f>
        <v>0</v>
      </c>
      <c r="K92" s="26">
        <f>'1 lentelė'!$S94</f>
        <v>603791.22</v>
      </c>
      <c r="L92" s="26">
        <v>1392800</v>
      </c>
      <c r="M92" s="26">
        <v>789008.78</v>
      </c>
      <c r="N92" s="26">
        <v>0</v>
      </c>
      <c r="O92" s="26">
        <v>603791.22</v>
      </c>
      <c r="P92" s="26">
        <v>1223051.48</v>
      </c>
      <c r="Q92" s="26">
        <v>732488.14</v>
      </c>
      <c r="R92" s="26"/>
      <c r="S92" s="26">
        <f t="shared" ref="S92:S97" si="29">P92-Q92</f>
        <v>490563.33999999997</v>
      </c>
      <c r="T92" s="26"/>
    </row>
    <row r="93" spans="1:24" s="222" customFormat="1" ht="98.25" customHeight="1" x14ac:dyDescent="0.25">
      <c r="A93" s="27"/>
      <c r="B93" s="12" t="str">
        <f>'1 lentelė'!$B95</f>
        <v>2.2.1.1.2</v>
      </c>
      <c r="C93" s="12" t="str">
        <f>'1 lentelė'!$C95</f>
        <v>R090014-070000-2202</v>
      </c>
      <c r="D93" s="12" t="str">
        <f>'1 lentelė'!$D95</f>
        <v xml:space="preserve">Vandens tiekimo ir nuotekų tvarkymo infrastruktūros plėtra ir rekonstravimas Zarasų rajono savivaldybėje </v>
      </c>
      <c r="E93" s="12" t="str">
        <f>'1 lentelė'!$E95</f>
        <v>UAB „Zarasų vandenys“</v>
      </c>
      <c r="F93" s="29" t="s">
        <v>66</v>
      </c>
      <c r="G93" s="29" t="s">
        <v>1079</v>
      </c>
      <c r="H93" s="26">
        <f>'1 lentelė'!$P95</f>
        <v>1229574.68</v>
      </c>
      <c r="I93" s="26">
        <f>'1 lentelė'!$Q95</f>
        <v>823834.4</v>
      </c>
      <c r="J93" s="26">
        <f>'1 lentelė'!$R95</f>
        <v>0</v>
      </c>
      <c r="K93" s="26">
        <f>'1 lentelė'!$S95</f>
        <v>405740.27999999991</v>
      </c>
      <c r="L93" s="26">
        <v>1229574.6800000002</v>
      </c>
      <c r="M93" s="26">
        <v>823834.4</v>
      </c>
      <c r="N93" s="26">
        <v>0</v>
      </c>
      <c r="O93" s="26">
        <f>77088.76+V93</f>
        <v>77088.759999999995</v>
      </c>
      <c r="P93" s="26">
        <v>11515553.470000001</v>
      </c>
      <c r="Q93" s="26">
        <v>762234.38</v>
      </c>
      <c r="R93" s="26">
        <v>0</v>
      </c>
      <c r="S93" s="26">
        <f t="shared" si="29"/>
        <v>10753319.09</v>
      </c>
      <c r="T93" s="65"/>
    </row>
    <row r="94" spans="1:24" s="222" customFormat="1" ht="51.75" customHeight="1" x14ac:dyDescent="0.25">
      <c r="A94" s="27"/>
      <c r="B94" s="12" t="str">
        <f>'1 lentelė'!$B96</f>
        <v>2.2.1.1.3</v>
      </c>
      <c r="C94" s="12" t="str">
        <f>'1 lentelė'!$C96</f>
        <v>R090014-060000-2203</v>
      </c>
      <c r="D94" s="12" t="str">
        <f>'1 lentelė'!$D96</f>
        <v xml:space="preserve">Vandens tiekimo ir nuotekų tinklų rekonstravimas Visagine </v>
      </c>
      <c r="E94" s="12" t="str">
        <f>'1 lentelė'!$E96</f>
        <v>VĮ „Visagino energija“</v>
      </c>
      <c r="F94" s="29" t="s">
        <v>65</v>
      </c>
      <c r="G94" s="29" t="s">
        <v>872</v>
      </c>
      <c r="H94" s="26">
        <f>'1 lentelė'!$P96</f>
        <v>3744065.92</v>
      </c>
      <c r="I94" s="26">
        <f>'1 lentelė'!$Q96</f>
        <v>1713584.68</v>
      </c>
      <c r="J94" s="26">
        <f>'1 lentelė'!$R96</f>
        <v>0</v>
      </c>
      <c r="K94" s="26">
        <f>'1 lentelė'!$S96</f>
        <v>2030481.24</v>
      </c>
      <c r="L94" s="26">
        <v>3752037.2199999997</v>
      </c>
      <c r="M94" s="26">
        <v>1717232.99</v>
      </c>
      <c r="N94" s="26">
        <v>0</v>
      </c>
      <c r="O94" s="26">
        <f>V94</f>
        <v>0</v>
      </c>
      <c r="P94" s="26">
        <v>3744065.92</v>
      </c>
      <c r="Q94" s="26">
        <v>1713584.68</v>
      </c>
      <c r="R94" s="26">
        <v>0</v>
      </c>
      <c r="S94" s="26">
        <f t="shared" si="29"/>
        <v>2030481.24</v>
      </c>
      <c r="T94" s="26" t="s">
        <v>880</v>
      </c>
    </row>
    <row r="95" spans="1:24" s="27" customFormat="1" ht="111.75" customHeight="1" x14ac:dyDescent="0.25">
      <c r="B95" s="12" t="str">
        <f>'1 lentelė'!$B97</f>
        <v>2.2.1.1.4</v>
      </c>
      <c r="C95" s="12" t="str">
        <f>'1 lentelė'!$C97</f>
        <v>R090014-070600-2204</v>
      </c>
      <c r="D95" s="12" t="str">
        <f>'1 lentelė'!$D97</f>
        <v>Vandens tiekimo ir nuotekų tvarkymo infrastruktūros plėtra ir rekonstrukcija Anykščių r. sav. Kurklių miestelyje</v>
      </c>
      <c r="E95" s="12" t="str">
        <f>'1 lentelė'!$E97</f>
        <v xml:space="preserve">UAB ,,Anykščių vandenys“ </v>
      </c>
      <c r="F95" s="29" t="s">
        <v>66</v>
      </c>
      <c r="G95" s="29" t="s">
        <v>1079</v>
      </c>
      <c r="H95" s="26">
        <f>'1 lentelė'!$P97</f>
        <v>1665450</v>
      </c>
      <c r="I95" s="26">
        <f>'1 lentelė'!$Q97</f>
        <v>1110408</v>
      </c>
      <c r="J95" s="26">
        <f>'1 lentelė'!$R97</f>
        <v>0</v>
      </c>
      <c r="K95" s="26">
        <f>'1 lentelė'!$S97</f>
        <v>555042</v>
      </c>
      <c r="L95" s="26">
        <v>1665450</v>
      </c>
      <c r="M95" s="26">
        <v>1110408</v>
      </c>
      <c r="N95" s="26">
        <v>0</v>
      </c>
      <c r="O95" s="26">
        <f>V95</f>
        <v>0</v>
      </c>
      <c r="P95" s="26">
        <v>1402395.82</v>
      </c>
      <c r="Q95" s="26">
        <v>963664.85</v>
      </c>
      <c r="R95" s="26">
        <v>0</v>
      </c>
      <c r="S95" s="26">
        <f t="shared" si="29"/>
        <v>438730.97000000009</v>
      </c>
      <c r="T95" s="26"/>
      <c r="U95" s="222"/>
      <c r="V95" s="40"/>
      <c r="W95" s="40"/>
      <c r="X95" s="40">
        <f t="shared" ref="X95:X102" si="30">L95-M95-N95-O95</f>
        <v>555042</v>
      </c>
    </row>
    <row r="96" spans="1:24" s="222" customFormat="1" ht="105.75" customHeight="1" x14ac:dyDescent="0.25">
      <c r="A96" s="27"/>
      <c r="B96" s="12" t="str">
        <f>'1 lentelė'!$B98</f>
        <v>2.2.1.1.5</v>
      </c>
      <c r="C96" s="12" t="str">
        <f>'1 lentelė'!$C98</f>
        <v>R090014-070600-2205</v>
      </c>
      <c r="D96" s="12" t="str">
        <f>'1 lentelė'!$D98</f>
        <v xml:space="preserve"> Vandens tiekimo ir nuotekų tvarkymo infrastruktūros plėtra ir rekonstrukcija Molėtų rajone </v>
      </c>
      <c r="E96" s="12" t="str">
        <f>'1 lentelė'!$E98</f>
        <v>UAB ,,Molėtų vanduo"</v>
      </c>
      <c r="F96" s="29" t="s">
        <v>66</v>
      </c>
      <c r="G96" s="29" t="s">
        <v>1079</v>
      </c>
      <c r="H96" s="26">
        <f>'1 lentelė'!$P98</f>
        <v>1226741.69</v>
      </c>
      <c r="I96" s="26">
        <f>'1 lentelė'!$Q98</f>
        <v>824798.84</v>
      </c>
      <c r="J96" s="26">
        <f>'1 lentelė'!$R98</f>
        <v>0</v>
      </c>
      <c r="K96" s="26">
        <f>'1 lentelė'!$S98</f>
        <v>401942.85</v>
      </c>
      <c r="L96" s="26">
        <v>1226741.69</v>
      </c>
      <c r="M96" s="26">
        <v>824798.84</v>
      </c>
      <c r="N96" s="26">
        <v>0</v>
      </c>
      <c r="O96" s="26">
        <f>V96</f>
        <v>401942.85</v>
      </c>
      <c r="P96" s="26">
        <v>1221542.69</v>
      </c>
      <c r="Q96" s="26">
        <v>822187.2</v>
      </c>
      <c r="R96" s="26">
        <v>0</v>
      </c>
      <c r="S96" s="26">
        <f t="shared" si="29"/>
        <v>399355.49</v>
      </c>
      <c r="T96" s="26"/>
      <c r="V96" s="40">
        <v>401942.85</v>
      </c>
      <c r="W96" s="40"/>
      <c r="X96" s="40">
        <f t="shared" si="30"/>
        <v>0</v>
      </c>
    </row>
    <row r="97" spans="1:24" s="222" customFormat="1" ht="81" customHeight="1" x14ac:dyDescent="0.25">
      <c r="A97" s="27"/>
      <c r="B97" s="12" t="str">
        <f>'1 lentelė'!$B99</f>
        <v>2.2.1.1.6</v>
      </c>
      <c r="C97" s="12" t="str">
        <f>'1 lentelė'!$C99</f>
        <v>R090014-075000-2206</v>
      </c>
      <c r="D97" s="12" t="str">
        <f>'1 lentelė'!$D99</f>
        <v>Vandens tiekimo ir nuotekų tvarkymo infrastruktūros plėtra Utenos rajone (Jasonių k.)</v>
      </c>
      <c r="E97" s="12" t="str">
        <f>'1 lentelė'!$E99</f>
        <v>UAB "Utenos vandenys"</v>
      </c>
      <c r="F97" s="29" t="s">
        <v>66</v>
      </c>
      <c r="G97" s="29" t="s">
        <v>1079</v>
      </c>
      <c r="H97" s="26">
        <f>'1 lentelė'!$P99</f>
        <v>2011598.52</v>
      </c>
      <c r="I97" s="26">
        <f>'1 lentelė'!$Q99</f>
        <v>1609278.82</v>
      </c>
      <c r="J97" s="26">
        <f>'1 lentelė'!$R99</f>
        <v>0</v>
      </c>
      <c r="K97" s="26">
        <f>'1 lentelė'!$S99</f>
        <v>402319.69999999995</v>
      </c>
      <c r="L97" s="26">
        <v>2011598.52</v>
      </c>
      <c r="M97" s="26">
        <v>1609278.82</v>
      </c>
      <c r="N97" s="26">
        <v>0</v>
      </c>
      <c r="O97" s="26">
        <f>V97</f>
        <v>402319.7</v>
      </c>
      <c r="P97" s="26">
        <v>2006559.76</v>
      </c>
      <c r="Q97" s="26">
        <v>1605247.81</v>
      </c>
      <c r="R97" s="26">
        <v>0</v>
      </c>
      <c r="S97" s="26">
        <f t="shared" si="29"/>
        <v>401311.94999999995</v>
      </c>
      <c r="T97" s="26"/>
      <c r="V97" s="40">
        <v>402319.7</v>
      </c>
      <c r="W97" s="40"/>
      <c r="X97" s="40">
        <f t="shared" si="30"/>
        <v>0</v>
      </c>
    </row>
    <row r="98" spans="1:24" s="27" customFormat="1" ht="93" customHeight="1" x14ac:dyDescent="0.25">
      <c r="B98" s="12" t="str">
        <f>'1 lentelė'!$B100</f>
        <v>2.2.1.1.7</v>
      </c>
      <c r="C98" s="12" t="str">
        <f>'1 lentelė'!$C100</f>
        <v>R090014-060000-2225</v>
      </c>
      <c r="D98" s="12" t="str">
        <f>'1 lentelė'!$D100</f>
        <v>Vandens tiekimo ir nuotekų tvarkymo infrastruktūros rekonstrukcija ir inventorizacija Ignalinos rajone</v>
      </c>
      <c r="E98" s="12" t="str">
        <f>'1 lentelė'!$E100</f>
        <v>UAB ,,Ignalinos vanduo"</v>
      </c>
      <c r="F98" s="29" t="s">
        <v>66</v>
      </c>
      <c r="G98" s="29" t="s">
        <v>1518</v>
      </c>
      <c r="H98" s="26">
        <f>'1 lentelė'!$P100</f>
        <v>407141.75</v>
      </c>
      <c r="I98" s="26">
        <f>'1 lentelė'!$Q100</f>
        <v>169000</v>
      </c>
      <c r="J98" s="26">
        <f>'1 lentelė'!$R100</f>
        <v>0</v>
      </c>
      <c r="K98" s="26">
        <f>'1 lentelė'!$S100</f>
        <v>238141.75</v>
      </c>
      <c r="L98" s="26">
        <v>0</v>
      </c>
      <c r="M98" s="26">
        <v>0</v>
      </c>
      <c r="N98" s="26">
        <v>0</v>
      </c>
      <c r="O98" s="26">
        <v>0</v>
      </c>
      <c r="P98" s="26">
        <v>0</v>
      </c>
      <c r="Q98" s="26">
        <v>0</v>
      </c>
      <c r="R98" s="26">
        <v>0</v>
      </c>
      <c r="S98" s="26">
        <v>0</v>
      </c>
      <c r="T98" s="65"/>
      <c r="V98" s="40">
        <v>0</v>
      </c>
      <c r="W98" s="40"/>
      <c r="X98" s="40">
        <f t="shared" si="30"/>
        <v>0</v>
      </c>
    </row>
    <row r="99" spans="1:24" s="6" customFormat="1" ht="85.5" customHeight="1" x14ac:dyDescent="0.25">
      <c r="B99" s="12" t="str">
        <f>'1 lentelė'!$B101</f>
        <v>2.2.1.1.8</v>
      </c>
      <c r="C99" s="12" t="str">
        <f>'1 lentelė'!$C101</f>
        <v>R090014-075000-2226</v>
      </c>
      <c r="D99" s="12" t="str">
        <f>'1 lentelė'!$D101</f>
        <v>Vandens tiekimo ir nuotekų tvarkymo infrastruktūros plėtra Utenos rajone (Jasonių k. II etapas)</v>
      </c>
      <c r="E99" s="12" t="str">
        <f>'1 lentelė'!$E101</f>
        <v>UAB "Utenos vandenys"</v>
      </c>
      <c r="F99" s="29" t="s">
        <v>66</v>
      </c>
      <c r="G99" s="29" t="s">
        <v>1079</v>
      </c>
      <c r="H99" s="23">
        <f>'1 lentelė'!$P101</f>
        <v>717269.99</v>
      </c>
      <c r="I99" s="23">
        <f>'1 lentelė'!$Q101</f>
        <v>573815.99</v>
      </c>
      <c r="J99" s="23">
        <f>'1 lentelė'!$R101</f>
        <v>0</v>
      </c>
      <c r="K99" s="23">
        <f>'1 lentelė'!$S101</f>
        <v>143454</v>
      </c>
      <c r="L99" s="23">
        <v>717269.99</v>
      </c>
      <c r="M99" s="23">
        <v>573815.99</v>
      </c>
      <c r="N99" s="23">
        <v>0</v>
      </c>
      <c r="O99" s="23">
        <f>L99-M99</f>
        <v>143454</v>
      </c>
      <c r="P99" s="26">
        <v>453910.74</v>
      </c>
      <c r="Q99" s="26">
        <v>363128.59</v>
      </c>
      <c r="R99" s="26">
        <v>0</v>
      </c>
      <c r="S99" s="26">
        <f>P99-Q99</f>
        <v>90782.149999999965</v>
      </c>
      <c r="T99" s="48"/>
      <c r="V99" s="38">
        <v>0</v>
      </c>
      <c r="W99" s="38"/>
      <c r="X99" s="38">
        <f t="shared" si="30"/>
        <v>0</v>
      </c>
    </row>
    <row r="100" spans="1:24" s="222" customFormat="1" ht="102.75" customHeight="1" x14ac:dyDescent="0.25">
      <c r="A100" s="27"/>
      <c r="B100" s="12" t="str">
        <f>'1 lentelė'!$B102</f>
        <v>2.2.1.1.9</v>
      </c>
      <c r="C100" s="12" t="str">
        <f>'1 lentelė'!$C102</f>
        <v>R090014-070000-2227</v>
      </c>
      <c r="D100" s="12" t="str">
        <f>'1 lentelė'!$D102</f>
        <v>Vandentiekio ir nuotekų tinklų Anykščių aglomeracijoje (sodų bendrija ,,Šaltupys" ir Keblonių k.) statybos darbai.</v>
      </c>
      <c r="E100" s="12" t="str">
        <f>'1 lentelė'!$E102</f>
        <v xml:space="preserve">UAB ,,Anykščių vandenys“ </v>
      </c>
      <c r="F100" s="29" t="s">
        <v>66</v>
      </c>
      <c r="G100" s="29" t="s">
        <v>1079</v>
      </c>
      <c r="H100" s="26">
        <f>'1 lentelė'!$P102</f>
        <v>1193327.6499999999</v>
      </c>
      <c r="I100" s="26">
        <f>'1 lentelė'!$Q102</f>
        <v>528530.03</v>
      </c>
      <c r="J100" s="26">
        <f>'1 lentelė'!$R102</f>
        <v>0</v>
      </c>
      <c r="K100" s="26">
        <f>'1 lentelė'!$S102</f>
        <v>664797.61999999988</v>
      </c>
      <c r="L100" s="26">
        <f>M100+N100+O100</f>
        <v>1193327.6499999999</v>
      </c>
      <c r="M100" s="26">
        <v>528530.03</v>
      </c>
      <c r="N100" s="26">
        <v>0</v>
      </c>
      <c r="O100" s="26">
        <v>664797.62</v>
      </c>
      <c r="P100" s="26">
        <v>634823.79</v>
      </c>
      <c r="Q100" s="26">
        <v>281166.23</v>
      </c>
      <c r="R100" s="26">
        <v>0</v>
      </c>
      <c r="S100" s="26">
        <f>P100-Q100</f>
        <v>353657.56000000006</v>
      </c>
      <c r="T100" s="65"/>
      <c r="V100" s="222">
        <v>0</v>
      </c>
      <c r="X100" s="222">
        <f t="shared" si="30"/>
        <v>0</v>
      </c>
    </row>
    <row r="101" spans="1:24" s="223" customFormat="1" ht="116.25" customHeight="1" x14ac:dyDescent="0.25">
      <c r="A101" s="227" t="s">
        <v>220</v>
      </c>
      <c r="B101" s="12" t="str">
        <f>'1 lentelė'!$B103</f>
        <v>2.2.1.1.10</v>
      </c>
      <c r="C101" s="208" t="str">
        <f>'1 lentelė'!$C103</f>
        <v>R090014-070600-2228</v>
      </c>
      <c r="D101" s="208" t="str">
        <f>'1 lentelė'!$D103</f>
        <v>Vandens tiekimo ir nuotekų tvarkymo infrastruktūros plėtra ir rekonstravimas Zarasų rajono savivaldybėje (II etapas)</v>
      </c>
      <c r="E101" s="208" t="str">
        <f>'1 lentelė'!$E103</f>
        <v>UAB „Zarasų vandenys“</v>
      </c>
      <c r="F101" s="192" t="s">
        <v>66</v>
      </c>
      <c r="G101" s="192" t="s">
        <v>1079</v>
      </c>
      <c r="H101" s="201">
        <f>'1 lentelė'!$P103</f>
        <v>677199.48</v>
      </c>
      <c r="I101" s="201">
        <f>'1 lentelė'!$Q103</f>
        <v>375000</v>
      </c>
      <c r="J101" s="201">
        <f>'1 lentelė'!$R103</f>
        <v>0</v>
      </c>
      <c r="K101" s="201">
        <f>'1 lentelė'!$S103</f>
        <v>302199.48</v>
      </c>
      <c r="L101" s="201">
        <v>677199.48</v>
      </c>
      <c r="M101" s="201">
        <v>375000</v>
      </c>
      <c r="N101" s="201">
        <v>0</v>
      </c>
      <c r="O101" s="201">
        <v>302199.48</v>
      </c>
      <c r="P101" s="201">
        <v>171669.85</v>
      </c>
      <c r="Q101" s="201">
        <v>83565.63</v>
      </c>
      <c r="R101" s="201">
        <v>0</v>
      </c>
      <c r="S101" s="201">
        <f>P101-Q101</f>
        <v>88104.22</v>
      </c>
      <c r="T101" s="237"/>
      <c r="V101" s="228">
        <v>30237</v>
      </c>
      <c r="W101" s="228"/>
      <c r="X101" s="228">
        <f t="shared" si="30"/>
        <v>0</v>
      </c>
    </row>
    <row r="102" spans="1:24" s="27" customFormat="1" ht="101.25" customHeight="1" x14ac:dyDescent="0.25">
      <c r="B102" s="12" t="str">
        <f>'1 lentelė'!$B104</f>
        <v>2.2.1.1.11</v>
      </c>
      <c r="C102" s="12" t="str">
        <f>'1 lentelė'!$C104</f>
        <v>R090014-070600-2229</v>
      </c>
      <c r="D102" s="12" t="str">
        <f>'1 lentelė'!$D104</f>
        <v>Vandens tiekimo ir nuotekų tvarkymo infrastruktūros plėtra ir rekonstrukcija Molėtų rajone (II etapas)</v>
      </c>
      <c r="E102" s="12" t="str">
        <f>'1 lentelė'!$E104</f>
        <v>UAB ,,Molėtų vanduo"</v>
      </c>
      <c r="F102" s="29" t="s">
        <v>66</v>
      </c>
      <c r="G102" s="29" t="s">
        <v>1079</v>
      </c>
      <c r="H102" s="26">
        <f>'1 lentelė'!$P104</f>
        <v>628101.72</v>
      </c>
      <c r="I102" s="26">
        <f>'1 lentelė'!$Q104</f>
        <v>313734.19</v>
      </c>
      <c r="J102" s="26">
        <f>'1 lentelė'!$R104</f>
        <v>0</v>
      </c>
      <c r="K102" s="26">
        <f>'1 lentelė'!$S104</f>
        <v>314367.52999999997</v>
      </c>
      <c r="L102" s="26">
        <f>M102+N102+O102</f>
        <v>628101.72</v>
      </c>
      <c r="M102" s="26">
        <v>313734.19</v>
      </c>
      <c r="N102" s="26">
        <v>0</v>
      </c>
      <c r="O102" s="26">
        <v>314367.53000000003</v>
      </c>
      <c r="P102" s="26">
        <v>90299.05</v>
      </c>
      <c r="Q102" s="26">
        <v>45104</v>
      </c>
      <c r="R102" s="26">
        <v>0</v>
      </c>
      <c r="S102" s="26">
        <f>P102-Q102</f>
        <v>45195.05</v>
      </c>
      <c r="T102" s="65"/>
      <c r="V102" s="40">
        <v>0</v>
      </c>
      <c r="W102" s="40"/>
      <c r="X102" s="40">
        <f t="shared" si="30"/>
        <v>0</v>
      </c>
    </row>
    <row r="103" spans="1:24" s="6" customFormat="1" ht="72" customHeight="1" x14ac:dyDescent="0.25">
      <c r="B103" s="44" t="str">
        <f>'1 lentelė'!$B105</f>
        <v>2.2.1.2</v>
      </c>
      <c r="C103" s="232" t="s">
        <v>356</v>
      </c>
      <c r="D103" s="76" t="str">
        <f>'1 lentelė'!$D105</f>
        <v>Priemonė: Paviršinių nuotekų sistemų tvarkymas</v>
      </c>
      <c r="E103" s="44"/>
      <c r="F103" s="44"/>
      <c r="G103" s="44"/>
      <c r="H103" s="263">
        <f>SUM(H104:H105)</f>
        <v>1876374.99</v>
      </c>
      <c r="I103" s="263">
        <f t="shared" ref="I103:S103" si="31">SUM(I104:I105)</f>
        <v>1594918.74</v>
      </c>
      <c r="J103" s="263">
        <f t="shared" si="31"/>
        <v>0</v>
      </c>
      <c r="K103" s="263">
        <f t="shared" si="31"/>
        <v>281456.25</v>
      </c>
      <c r="L103" s="263">
        <f t="shared" si="31"/>
        <v>2053631.8699999999</v>
      </c>
      <c r="M103" s="263">
        <f t="shared" si="31"/>
        <v>1745587.0899999999</v>
      </c>
      <c r="N103" s="263">
        <f t="shared" si="31"/>
        <v>0</v>
      </c>
      <c r="O103" s="263">
        <f t="shared" si="31"/>
        <v>308044.78000000003</v>
      </c>
      <c r="P103" s="263">
        <f t="shared" si="31"/>
        <v>1439845.48</v>
      </c>
      <c r="Q103" s="263">
        <f t="shared" si="31"/>
        <v>1223868.6599999999</v>
      </c>
      <c r="R103" s="263">
        <f t="shared" si="31"/>
        <v>0</v>
      </c>
      <c r="S103" s="263">
        <f t="shared" si="31"/>
        <v>215976.81999999998</v>
      </c>
      <c r="T103" s="29"/>
    </row>
    <row r="104" spans="1:24" s="27" customFormat="1" ht="99.75" customHeight="1" x14ac:dyDescent="0.25">
      <c r="B104" s="12" t="str">
        <f>'1 lentelė'!$B106</f>
        <v>2.2.1.2.1</v>
      </c>
      <c r="C104" s="12" t="str">
        <f>'1 lentelė'!$C106</f>
        <v>R090007-080000-2207</v>
      </c>
      <c r="D104" s="12" t="str">
        <f>'1 lentelė'!$D106</f>
        <v>Paviršinių nuotekų tinklų ir jiems priklausančios infrastruktūros rekonstrukcija ir plėtra Utenos mieste</v>
      </c>
      <c r="E104" s="12" t="str">
        <f>'1 lentelė'!$E106</f>
        <v>UAB „Utenos komunalininkas“</v>
      </c>
      <c r="F104" s="29" t="s">
        <v>66</v>
      </c>
      <c r="G104" s="29" t="s">
        <v>1079</v>
      </c>
      <c r="H104" s="26">
        <f>'1 lentelė'!$P106</f>
        <v>841155.99</v>
      </c>
      <c r="I104" s="26">
        <f>'1 lentelė'!$Q106</f>
        <v>714982.59</v>
      </c>
      <c r="J104" s="26">
        <f>'1 lentelė'!$R106</f>
        <v>0</v>
      </c>
      <c r="K104" s="26">
        <f>'1 lentelė'!$S106</f>
        <v>126173.40000000002</v>
      </c>
      <c r="L104" s="26">
        <v>1018412.8699999999</v>
      </c>
      <c r="M104" s="26">
        <v>865650.94</v>
      </c>
      <c r="N104" s="26">
        <v>0</v>
      </c>
      <c r="O104" s="26">
        <f>V104</f>
        <v>152761.93</v>
      </c>
      <c r="P104" s="26">
        <v>808423.2</v>
      </c>
      <c r="Q104" s="26">
        <v>687159.72</v>
      </c>
      <c r="R104" s="26">
        <v>0</v>
      </c>
      <c r="S104" s="26">
        <f>P104-Q104</f>
        <v>121263.47999999998</v>
      </c>
      <c r="T104" s="65"/>
      <c r="V104" s="40">
        <v>152761.93</v>
      </c>
      <c r="W104" s="40" t="s">
        <v>879</v>
      </c>
      <c r="X104" s="40">
        <f>L104-M104-N104-O104</f>
        <v>0</v>
      </c>
    </row>
    <row r="105" spans="1:24" s="27" customFormat="1" ht="121.5" customHeight="1" x14ac:dyDescent="0.25">
      <c r="B105" s="12" t="str">
        <f>'1 lentelė'!$B107</f>
        <v>2.2.1.2.2</v>
      </c>
      <c r="C105" s="12" t="str">
        <f>'1 lentelė'!$C107</f>
        <v>R090007-080000-2208</v>
      </c>
      <c r="D105" s="12" t="str">
        <f>'1 lentelė'!$D107</f>
        <v>Inžinerinių paviršinių nuotekų surinkimo ir šalinimo tinklų rekonstravimas Visagino g. atkarpoje nuo Parko iki Vilties g.</v>
      </c>
      <c r="E105" s="12" t="str">
        <f>'1 lentelė'!$E107</f>
        <v xml:space="preserve">UAB „Visagino būstas“, partneris Visagino savivaldybės administracija </v>
      </c>
      <c r="F105" s="29" t="s">
        <v>65</v>
      </c>
      <c r="G105" s="29" t="s">
        <v>1079</v>
      </c>
      <c r="H105" s="26">
        <f>'1 lentelė'!$P107</f>
        <v>1035219</v>
      </c>
      <c r="I105" s="26">
        <f>'1 lentelė'!$Q107</f>
        <v>879936.15</v>
      </c>
      <c r="J105" s="26">
        <f>'1 lentelė'!$R107</f>
        <v>0</v>
      </c>
      <c r="K105" s="26">
        <f>'1 lentelė'!$S107</f>
        <v>155282.84999999998</v>
      </c>
      <c r="L105" s="26">
        <v>1035219</v>
      </c>
      <c r="M105" s="26">
        <v>879936.15</v>
      </c>
      <c r="N105" s="26">
        <v>0</v>
      </c>
      <c r="O105" s="26">
        <v>155282.85</v>
      </c>
      <c r="P105" s="26">
        <f>Q105+R105+S105</f>
        <v>631422.27999999991</v>
      </c>
      <c r="Q105" s="26">
        <v>536708.93999999994</v>
      </c>
      <c r="R105" s="26">
        <v>0</v>
      </c>
      <c r="S105" s="26">
        <v>94713.34</v>
      </c>
      <c r="T105" s="26"/>
      <c r="V105" s="40">
        <v>0</v>
      </c>
      <c r="W105" s="40"/>
      <c r="X105" s="40">
        <f>L105-M105-N105-O105</f>
        <v>0</v>
      </c>
    </row>
    <row r="106" spans="1:24" s="6" customFormat="1" ht="69" customHeight="1" x14ac:dyDescent="0.25">
      <c r="B106" s="44" t="str">
        <f>'1 lentelė'!$B108</f>
        <v>2.2.1.3</v>
      </c>
      <c r="C106" s="232" t="s">
        <v>367</v>
      </c>
      <c r="D106" s="76" t="str">
        <f>'1 lentelė'!$D108</f>
        <v>Priemonė: Komunalinių atliekų tvarkymo infrastruktūros plėtra</v>
      </c>
      <c r="E106" s="44"/>
      <c r="F106" s="44"/>
      <c r="G106" s="44"/>
      <c r="H106" s="263">
        <f>SUM(H107:H112)</f>
        <v>3251580.6900000004</v>
      </c>
      <c r="I106" s="263">
        <f t="shared" ref="I106:S106" si="32">SUM(I107:I112)</f>
        <v>2741982.62</v>
      </c>
      <c r="J106" s="263">
        <f t="shared" si="32"/>
        <v>0</v>
      </c>
      <c r="K106" s="263">
        <f t="shared" si="32"/>
        <v>509598.06999999983</v>
      </c>
      <c r="L106" s="263">
        <f t="shared" si="32"/>
        <v>3279662.01</v>
      </c>
      <c r="M106" s="263">
        <f t="shared" si="32"/>
        <v>2765851.7399999998</v>
      </c>
      <c r="N106" s="263">
        <f t="shared" si="32"/>
        <v>0</v>
      </c>
      <c r="O106" s="263">
        <f t="shared" si="32"/>
        <v>513810.27</v>
      </c>
      <c r="P106" s="263">
        <f t="shared" si="32"/>
        <v>2978496.6799999997</v>
      </c>
      <c r="Q106" s="263">
        <f t="shared" si="32"/>
        <v>2530025.8500000006</v>
      </c>
      <c r="R106" s="263">
        <f t="shared" si="32"/>
        <v>0</v>
      </c>
      <c r="S106" s="263">
        <f t="shared" si="32"/>
        <v>448470.8299999999</v>
      </c>
      <c r="T106" s="29"/>
    </row>
    <row r="107" spans="1:24" s="6" customFormat="1" ht="63.75" customHeight="1" x14ac:dyDescent="0.25">
      <c r="B107" s="12" t="str">
        <f>'1 lentelė'!$B109</f>
        <v>2.2.1.3.1</v>
      </c>
      <c r="C107" s="12" t="str">
        <f>'1 lentelė'!$C109</f>
        <v>R090008-050000-2209</v>
      </c>
      <c r="D107" s="12" t="str">
        <f>'1 lentelė'!$D109</f>
        <v>Komunalinių atliekų tvarkymo infrastruktūros plėtra Visagino savivaldybėje</v>
      </c>
      <c r="E107" s="12" t="str">
        <f>'1 lentelė'!$E109</f>
        <v>Visagino savivaldybės administracija</v>
      </c>
      <c r="F107" s="29" t="s">
        <v>66</v>
      </c>
      <c r="G107" s="29" t="s">
        <v>1079</v>
      </c>
      <c r="H107" s="23">
        <f>'1 lentelė'!P109</f>
        <v>519466.19</v>
      </c>
      <c r="I107" s="23">
        <f>'1 lentelė'!Q109</f>
        <v>441546.19</v>
      </c>
      <c r="J107" s="23">
        <f>'1 lentelė'!R109</f>
        <v>0</v>
      </c>
      <c r="K107" s="23">
        <f>'1 lentelė'!S109</f>
        <v>77920</v>
      </c>
      <c r="L107" s="23">
        <v>519466.19</v>
      </c>
      <c r="M107" s="23">
        <v>441546.19</v>
      </c>
      <c r="N107" s="23">
        <v>0</v>
      </c>
      <c r="O107" s="23">
        <v>77920</v>
      </c>
      <c r="P107" s="23">
        <v>508617.03</v>
      </c>
      <c r="Q107" s="23">
        <v>430697.03</v>
      </c>
      <c r="R107" s="23">
        <v>0</v>
      </c>
      <c r="S107" s="23">
        <f t="shared" ref="S107:S112" si="33">P107-Q107</f>
        <v>77920</v>
      </c>
      <c r="T107" s="23"/>
      <c r="V107" s="38">
        <v>0</v>
      </c>
      <c r="W107" s="38" t="s">
        <v>879</v>
      </c>
      <c r="X107" s="38">
        <f>L107-M107-N107-O107</f>
        <v>0</v>
      </c>
    </row>
    <row r="108" spans="1:24" s="27" customFormat="1" ht="141" customHeight="1" x14ac:dyDescent="0.25">
      <c r="B108" s="12" t="str">
        <f>'1 lentelė'!$B110</f>
        <v>2.2.1.3.2</v>
      </c>
      <c r="C108" s="12" t="str">
        <f>'1 lentelė'!$C110</f>
        <v>R090008-050000-2210</v>
      </c>
      <c r="D108" s="12" t="str">
        <f>'1 lentelė'!$D110</f>
        <v>Konteinerinių aikštelių įrengimas ( rekonstrukcija) Ignalinos r. savivaldybėje ir atliekų surinkimo konteinerių konteinerinėms aikštelėms įsigijimas</v>
      </c>
      <c r="E108" s="12" t="str">
        <f>'1 lentelė'!$E110</f>
        <v>Ignalinos rajono savivaldybės administracija, partneris – UAB Utenos regiono atliekų tvarkymo centras</v>
      </c>
      <c r="F108" s="29" t="s">
        <v>66</v>
      </c>
      <c r="G108" s="29" t="s">
        <v>1079</v>
      </c>
      <c r="H108" s="26">
        <f>'1 lentelė'!$P110</f>
        <v>400317.65</v>
      </c>
      <c r="I108" s="26">
        <f>'1 lentelė'!$Q110</f>
        <v>340270</v>
      </c>
      <c r="J108" s="26">
        <f>'1 lentelė'!$R110</f>
        <v>0</v>
      </c>
      <c r="K108" s="26">
        <f>'1 lentelė'!$S110</f>
        <v>60047.650000000023</v>
      </c>
      <c r="L108" s="26">
        <v>400317.65</v>
      </c>
      <c r="M108" s="26">
        <v>340270</v>
      </c>
      <c r="N108" s="26">
        <v>0</v>
      </c>
      <c r="O108" s="26">
        <v>60047.65</v>
      </c>
      <c r="P108" s="26">
        <v>375282.43</v>
      </c>
      <c r="Q108" s="26">
        <v>318990.06</v>
      </c>
      <c r="R108" s="26">
        <v>0</v>
      </c>
      <c r="S108" s="26">
        <f t="shared" si="33"/>
        <v>56292.369999999995</v>
      </c>
      <c r="T108" s="65"/>
      <c r="V108" s="40">
        <v>0</v>
      </c>
      <c r="W108" s="40"/>
      <c r="X108" s="40">
        <f t="shared" ref="X108:X112" si="34">L108-M108-N108-O108</f>
        <v>0</v>
      </c>
    </row>
    <row r="109" spans="1:24" s="27" customFormat="1" ht="81" customHeight="1" x14ac:dyDescent="0.25">
      <c r="B109" s="12" t="str">
        <f>'1 lentelė'!$B111</f>
        <v>2.2.1.3.3</v>
      </c>
      <c r="C109" s="12" t="str">
        <f>'1 lentelė'!$C111</f>
        <v>R090008-050000-2211</v>
      </c>
      <c r="D109" s="12" t="str">
        <f>'1 lentelė'!$D111</f>
        <v>Komunalinių atliekų tvarkymo infrastruktūros plėtra Anykščių rajono savivaldybėje</v>
      </c>
      <c r="E109" s="12" t="str">
        <f>'1 lentelė'!$E111</f>
        <v>Anykščių rajono savivaldybės administracija, partneris – UAB Utenos regiono atliekų tvarkymo centras</v>
      </c>
      <c r="F109" s="29" t="s">
        <v>66</v>
      </c>
      <c r="G109" s="29" t="s">
        <v>872</v>
      </c>
      <c r="H109" s="26">
        <f>'1 lentelė'!$P111</f>
        <v>579324.81999999995</v>
      </c>
      <c r="I109" s="26">
        <f>'1 lentelė'!$Q111</f>
        <v>492426.09</v>
      </c>
      <c r="J109" s="26">
        <f>'1 lentelė'!$R111</f>
        <v>0</v>
      </c>
      <c r="K109" s="26">
        <f>'1 lentelė'!$S111</f>
        <v>86898.729999999923</v>
      </c>
      <c r="L109" s="26">
        <v>607406.14</v>
      </c>
      <c r="M109" s="26">
        <v>516295.21</v>
      </c>
      <c r="N109" s="26">
        <v>0</v>
      </c>
      <c r="O109" s="26">
        <v>91110.93</v>
      </c>
      <c r="P109" s="26">
        <v>579324.81999999995</v>
      </c>
      <c r="Q109" s="26">
        <v>492426.09</v>
      </c>
      <c r="R109" s="26">
        <v>0</v>
      </c>
      <c r="S109" s="26">
        <f t="shared" si="33"/>
        <v>86898.729999999923</v>
      </c>
      <c r="T109" s="26" t="s">
        <v>1216</v>
      </c>
      <c r="V109" s="40">
        <v>0</v>
      </c>
      <c r="W109" s="40"/>
      <c r="X109" s="40">
        <f t="shared" si="34"/>
        <v>0</v>
      </c>
    </row>
    <row r="110" spans="1:24" s="27" customFormat="1" ht="66.75" customHeight="1" x14ac:dyDescent="0.25">
      <c r="B110" s="12" t="str">
        <f>'1 lentelė'!$B112</f>
        <v>2.2.1.3.4</v>
      </c>
      <c r="C110" s="12" t="str">
        <f>'1 lentelė'!$C112</f>
        <v>R090008-050000-2212</v>
      </c>
      <c r="D110" s="12" t="str">
        <f>'1 lentelė'!$D112</f>
        <v>Molėtų rajono komunalinių atliekų tvarkymo infrastruktūros plėtra</v>
      </c>
      <c r="E110" s="12" t="str">
        <f>'1 lentelė'!$E112</f>
        <v>Molėtų rajono savivaldybės administracija, partneris – UAB Utenos regiono atliekų tvarkymo centras</v>
      </c>
      <c r="F110" s="29" t="s">
        <v>66</v>
      </c>
      <c r="G110" s="29" t="s">
        <v>872</v>
      </c>
      <c r="H110" s="26">
        <f>'1 lentelė'!$P112</f>
        <v>566036.31999999995</v>
      </c>
      <c r="I110" s="26">
        <f>'1 lentelė'!$Q112</f>
        <v>459270</v>
      </c>
      <c r="J110" s="26">
        <f>'1 lentelė'!$R112</f>
        <v>0</v>
      </c>
      <c r="K110" s="26">
        <f>'1 lentelė'!$S112</f>
        <v>106766.31999999995</v>
      </c>
      <c r="L110" s="26">
        <v>566036.32000000007</v>
      </c>
      <c r="M110" s="26">
        <v>459270</v>
      </c>
      <c r="N110" s="26">
        <v>0</v>
      </c>
      <c r="O110" s="26">
        <v>106766.32</v>
      </c>
      <c r="P110" s="26">
        <v>566036.31999999995</v>
      </c>
      <c r="Q110" s="26">
        <v>459270</v>
      </c>
      <c r="R110" s="26">
        <v>0</v>
      </c>
      <c r="S110" s="26">
        <f t="shared" si="33"/>
        <v>106766.31999999995</v>
      </c>
      <c r="T110" s="26" t="s">
        <v>1181</v>
      </c>
      <c r="V110" s="40">
        <v>0</v>
      </c>
      <c r="W110" s="40"/>
      <c r="X110" s="40">
        <f t="shared" si="34"/>
        <v>0</v>
      </c>
    </row>
    <row r="111" spans="1:24" s="27" customFormat="1" ht="100.5" customHeight="1" x14ac:dyDescent="0.25">
      <c r="B111" s="12" t="str">
        <f>'1 lentelė'!$B113</f>
        <v>2.2.1.3.5</v>
      </c>
      <c r="C111" s="12" t="str">
        <f>'1 lentelė'!$C113</f>
        <v>R090008-050000-2213</v>
      </c>
      <c r="D111" s="12" t="str">
        <f>'1 lentelė'!$D113</f>
        <v>Komunalinių atliekų tvarkymo infrastruktūros plėtra Zarasų rajone</v>
      </c>
      <c r="E111" s="12" t="str">
        <f>'1 lentelė'!$E113</f>
        <v>Zarasų rajono savivaldybės administracija, partneris – UAB Utenos regiono atliekų tvarkymo centras</v>
      </c>
      <c r="F111" s="29" t="s">
        <v>66</v>
      </c>
      <c r="G111" s="29" t="s">
        <v>1079</v>
      </c>
      <c r="H111" s="26">
        <f>'1 lentelė'!$P113</f>
        <v>569725.67999999993</v>
      </c>
      <c r="I111" s="26">
        <f>'1 lentelė'!$Q113</f>
        <v>484266.82</v>
      </c>
      <c r="J111" s="26">
        <f>'1 lentelė'!$R113</f>
        <v>0</v>
      </c>
      <c r="K111" s="26">
        <f>'1 lentelė'!$S113</f>
        <v>85458.859999999928</v>
      </c>
      <c r="L111" s="26">
        <v>569725.68000000005</v>
      </c>
      <c r="M111" s="26">
        <v>484266.82</v>
      </c>
      <c r="N111" s="26">
        <v>0</v>
      </c>
      <c r="O111" s="26">
        <f>76594.85+V111</f>
        <v>85458.86</v>
      </c>
      <c r="P111" s="270">
        <v>451790.18</v>
      </c>
      <c r="Q111" s="270">
        <v>405813.66</v>
      </c>
      <c r="R111" s="270"/>
      <c r="S111" s="270">
        <f t="shared" si="33"/>
        <v>45976.520000000019</v>
      </c>
      <c r="T111" s="26"/>
      <c r="V111" s="40">
        <v>8864.01</v>
      </c>
      <c r="W111" s="40"/>
      <c r="X111" s="40">
        <f t="shared" si="34"/>
        <v>0</v>
      </c>
    </row>
    <row r="112" spans="1:24" s="27" customFormat="1" ht="65.25" customHeight="1" x14ac:dyDescent="0.25">
      <c r="B112" s="12" t="str">
        <f>'1 lentelė'!$B114</f>
        <v>2.2.1.3.6</v>
      </c>
      <c r="C112" s="12" t="str">
        <f>'1 lentelė'!$C114</f>
        <v>R090008-050000-2214</v>
      </c>
      <c r="D112" s="12" t="str">
        <f>'1 lentelė'!$D114</f>
        <v>Komunalinių atliekų tvarkymo infrastruktūros plėtra Utenos rajone</v>
      </c>
      <c r="E112" s="12" t="str">
        <f>'1 lentelė'!$E114</f>
        <v>Utenos rajono savivaldybės administracija</v>
      </c>
      <c r="F112" s="29" t="s">
        <v>66</v>
      </c>
      <c r="G112" s="29" t="s">
        <v>1079</v>
      </c>
      <c r="H112" s="26">
        <f>'1 lentelė'!$P114</f>
        <v>616710.03</v>
      </c>
      <c r="I112" s="26">
        <f>'1 lentelė'!$Q114</f>
        <v>524203.52000000002</v>
      </c>
      <c r="J112" s="26">
        <f>'1 lentelė'!$R114</f>
        <v>0</v>
      </c>
      <c r="K112" s="26">
        <f>'1 lentelė'!$S114</f>
        <v>92506.510000000009</v>
      </c>
      <c r="L112" s="26">
        <v>616710.03</v>
      </c>
      <c r="M112" s="26">
        <v>524203.52000000002</v>
      </c>
      <c r="N112" s="26">
        <v>0</v>
      </c>
      <c r="O112" s="26">
        <v>92506.51</v>
      </c>
      <c r="P112" s="270">
        <v>497445.9</v>
      </c>
      <c r="Q112" s="270">
        <v>422829.01</v>
      </c>
      <c r="R112" s="270"/>
      <c r="S112" s="270">
        <f t="shared" si="33"/>
        <v>74616.890000000014</v>
      </c>
      <c r="T112" s="65"/>
      <c r="V112" s="40">
        <v>0</v>
      </c>
      <c r="W112" s="40"/>
      <c r="X112" s="40">
        <f t="shared" si="34"/>
        <v>0</v>
      </c>
    </row>
    <row r="113" spans="2:22" s="6" customFormat="1" ht="43.5" customHeight="1" x14ac:dyDescent="0.25">
      <c r="B113" s="44" t="str">
        <f>'1 lentelė'!$B116</f>
        <v>2.2.2.1</v>
      </c>
      <c r="C113" s="232" t="s">
        <v>394</v>
      </c>
      <c r="D113" s="76" t="str">
        <f>'1 lentelė'!$D116</f>
        <v>Priemonė: Kraštovaizdžio apsauga</v>
      </c>
      <c r="E113" s="44"/>
      <c r="F113" s="44"/>
      <c r="G113" s="44"/>
      <c r="H113" s="263">
        <f>SUM(H114:H125)</f>
        <v>3751495.1299999994</v>
      </c>
      <c r="I113" s="263">
        <f t="shared" ref="I113:K113" si="35">SUM(I114:I125)</f>
        <v>2995847</v>
      </c>
      <c r="J113" s="263">
        <f t="shared" si="35"/>
        <v>0</v>
      </c>
      <c r="K113" s="263">
        <f t="shared" si="35"/>
        <v>755648.13000000012</v>
      </c>
      <c r="L113" s="263">
        <f>SUM(L114:L125)</f>
        <v>3150437.7500000005</v>
      </c>
      <c r="M113" s="263">
        <f t="shared" ref="M113:S113" si="36">SUM(M114:M125)</f>
        <v>2472022.0900000008</v>
      </c>
      <c r="N113" s="263">
        <f t="shared" si="36"/>
        <v>0</v>
      </c>
      <c r="O113" s="263">
        <f t="shared" si="36"/>
        <v>678415.66</v>
      </c>
      <c r="P113" s="263">
        <f t="shared" si="36"/>
        <v>1462706.56</v>
      </c>
      <c r="Q113" s="263">
        <f t="shared" si="36"/>
        <v>1287558.45</v>
      </c>
      <c r="R113" s="263">
        <f t="shared" si="36"/>
        <v>0</v>
      </c>
      <c r="S113" s="263">
        <f t="shared" si="36"/>
        <v>175148.11</v>
      </c>
      <c r="T113" s="29"/>
    </row>
    <row r="114" spans="2:22" s="27" customFormat="1" ht="54" customHeight="1" x14ac:dyDescent="0.25">
      <c r="B114" s="12" t="str">
        <f>'1 lentelė'!$B117</f>
        <v>2.2.2.1.1</v>
      </c>
      <c r="C114" s="12" t="str">
        <f>'1 lentelė'!$C117</f>
        <v>R090019-380000-2215</v>
      </c>
      <c r="D114" s="12" t="str">
        <f>'1 lentelė'!$D117</f>
        <v>Zarasų rajono savivaldybės bendrųjų planų koregavimas</v>
      </c>
      <c r="E114" s="12" t="str">
        <f>'1 lentelė'!$E117</f>
        <v>Zarasų rajono savivaldybės administracija</v>
      </c>
      <c r="F114" s="29" t="s">
        <v>66</v>
      </c>
      <c r="G114" s="29" t="s">
        <v>1079</v>
      </c>
      <c r="H114" s="23">
        <f>'1 lentelė'!$P117</f>
        <v>42986.82</v>
      </c>
      <c r="I114" s="23">
        <f>'1 lentelė'!$Q117</f>
        <v>36538.79</v>
      </c>
      <c r="J114" s="23">
        <f>'1 lentelė'!$R117</f>
        <v>0</v>
      </c>
      <c r="K114" s="23">
        <f>'1 lentelė'!$S117</f>
        <v>6448.0299999999988</v>
      </c>
      <c r="L114" s="23">
        <v>35385</v>
      </c>
      <c r="M114" s="23">
        <v>30077.200000000001</v>
      </c>
      <c r="N114" s="23">
        <v>0</v>
      </c>
      <c r="O114" s="23">
        <v>5307.8</v>
      </c>
      <c r="P114" s="23">
        <v>8138.56</v>
      </c>
      <c r="Q114" s="23">
        <v>7077</v>
      </c>
      <c r="R114" s="23">
        <v>0</v>
      </c>
      <c r="S114" s="23">
        <f>P114-Q114</f>
        <v>1061.5600000000004</v>
      </c>
      <c r="T114" s="48"/>
      <c r="V114" s="40">
        <f>L114-M114-N114-O114</f>
        <v>0</v>
      </c>
    </row>
    <row r="115" spans="2:22" s="27" customFormat="1" ht="99" customHeight="1" x14ac:dyDescent="0.25">
      <c r="B115" s="12" t="str">
        <f>'1 lentelė'!$B118</f>
        <v>2.2.2.1.2</v>
      </c>
      <c r="C115" s="12" t="str">
        <f>'1 lentelė'!$C118</f>
        <v>R090019-380000-2216</v>
      </c>
      <c r="D115" s="12" t="str">
        <f>'1 lentelė'!$D118</f>
        <v>Bešeimininkių apleistų, kraštovaizdį darkančių statinių likvidavimas Molėtų rajono savivaldybėje</v>
      </c>
      <c r="E115" s="12" t="str">
        <f>'1 lentelė'!$E118</f>
        <v>Molėtų rajono savivaldybės administracija</v>
      </c>
      <c r="F115" s="29" t="s">
        <v>66</v>
      </c>
      <c r="G115" s="29" t="s">
        <v>1079</v>
      </c>
      <c r="H115" s="23">
        <f>'1 lentelė'!$P118</f>
        <v>390386.31</v>
      </c>
      <c r="I115" s="23">
        <f>'1 lentelė'!$Q118</f>
        <v>325725</v>
      </c>
      <c r="J115" s="23">
        <f>'1 lentelė'!$R118</f>
        <v>0</v>
      </c>
      <c r="K115" s="23">
        <f>'1 lentelė'!$S118</f>
        <v>64661.31</v>
      </c>
      <c r="L115" s="26">
        <v>390386.31</v>
      </c>
      <c r="M115" s="26">
        <v>325725</v>
      </c>
      <c r="N115" s="26">
        <v>0</v>
      </c>
      <c r="O115" s="26">
        <f>L115-M115</f>
        <v>64661.31</v>
      </c>
      <c r="P115" s="26">
        <v>375710.19</v>
      </c>
      <c r="Q115" s="26">
        <v>311048.88</v>
      </c>
      <c r="R115" s="26">
        <v>0</v>
      </c>
      <c r="S115" s="26">
        <f>P115-Q115</f>
        <v>64661.31</v>
      </c>
      <c r="T115" s="26"/>
      <c r="V115" s="40">
        <f t="shared" ref="V115:V123" si="37">L115-M115-N115-O115</f>
        <v>0</v>
      </c>
    </row>
    <row r="116" spans="2:22" s="27" customFormat="1" ht="63.75" customHeight="1" x14ac:dyDescent="0.25">
      <c r="B116" s="12" t="str">
        <f>'1 lentelė'!$B119</f>
        <v>2.2.2.1.3</v>
      </c>
      <c r="C116" s="12" t="str">
        <f>'1 lentelė'!$C119</f>
        <v>R090019-380000-2217</v>
      </c>
      <c r="D116" s="12" t="str">
        <f>'1 lentelė'!$D119</f>
        <v>Kraštovaizdžio formavimas ir ekologinės būklės gerinimas Zarasų rajone</v>
      </c>
      <c r="E116" s="12" t="str">
        <f>'1 lentelė'!$E119</f>
        <v>Zarasų rajono savivaldybės administracija</v>
      </c>
      <c r="F116" s="29" t="s">
        <v>66</v>
      </c>
      <c r="G116" s="29" t="s">
        <v>1079</v>
      </c>
      <c r="H116" s="26">
        <f>'1 lentelė'!$P119</f>
        <v>644100</v>
      </c>
      <c r="I116" s="26">
        <f>'1 lentelė'!$Q119</f>
        <v>547485</v>
      </c>
      <c r="J116" s="26">
        <f>'1 lentelė'!$R119</f>
        <v>0</v>
      </c>
      <c r="K116" s="26">
        <f>'1 lentelė'!$S119</f>
        <v>96615</v>
      </c>
      <c r="L116" s="26">
        <v>644100</v>
      </c>
      <c r="M116" s="26">
        <v>547485</v>
      </c>
      <c r="N116" s="26">
        <v>0</v>
      </c>
      <c r="O116" s="26">
        <v>96615</v>
      </c>
      <c r="P116" s="26">
        <f>Q116+R116+S116</f>
        <v>182189.51</v>
      </c>
      <c r="Q116" s="26">
        <v>177098</v>
      </c>
      <c r="R116" s="26">
        <v>0</v>
      </c>
      <c r="S116" s="26">
        <v>5091.51</v>
      </c>
      <c r="T116" s="26"/>
      <c r="V116" s="40">
        <f t="shared" si="37"/>
        <v>0</v>
      </c>
    </row>
    <row r="117" spans="2:22" s="27" customFormat="1" ht="75" customHeight="1" x14ac:dyDescent="0.25">
      <c r="B117" s="12" t="str">
        <f>'1 lentelė'!$B120</f>
        <v>2.2.2.1.4</v>
      </c>
      <c r="C117" s="12" t="str">
        <f>'1 lentelė'!$C120</f>
        <v>R090019-380000-2218</v>
      </c>
      <c r="D117" s="12" t="str">
        <f>'1 lentelė'!$D120</f>
        <v>Želdynų teritorijos formavimas ir kraštovaizdžio būklės gerinimas Utenos mieste</v>
      </c>
      <c r="E117" s="12" t="str">
        <f>'1 lentelė'!$E120</f>
        <v>Utenos rajono savivaldybės administracija</v>
      </c>
      <c r="F117" s="29" t="s">
        <v>66</v>
      </c>
      <c r="G117" s="29" t="s">
        <v>1079</v>
      </c>
      <c r="H117" s="26">
        <f>'1 lentelė'!$P120</f>
        <v>811154.46</v>
      </c>
      <c r="I117" s="26">
        <f>'1 lentelė'!$Q120</f>
        <v>502660.84</v>
      </c>
      <c r="J117" s="26">
        <f>'1 lentelė'!$R120</f>
        <v>0</v>
      </c>
      <c r="K117" s="26">
        <f>'1 lentelė'!$S120</f>
        <v>308493.61999999994</v>
      </c>
      <c r="L117" s="26">
        <v>811154.46</v>
      </c>
      <c r="M117" s="26">
        <v>502660.84</v>
      </c>
      <c r="N117" s="26">
        <v>0</v>
      </c>
      <c r="O117" s="26">
        <f>L117-M117</f>
        <v>308493.61999999994</v>
      </c>
      <c r="P117" s="26">
        <v>180822.81</v>
      </c>
      <c r="Q117" s="26">
        <v>176199.39</v>
      </c>
      <c r="R117" s="26">
        <v>0</v>
      </c>
      <c r="S117" s="26">
        <f>P117-Q117</f>
        <v>4623.4199999999837</v>
      </c>
      <c r="T117" s="65"/>
      <c r="V117" s="40">
        <f t="shared" si="37"/>
        <v>0</v>
      </c>
    </row>
    <row r="118" spans="2:22" s="27" customFormat="1" ht="135" customHeight="1" x14ac:dyDescent="0.25">
      <c r="B118" s="12" t="str">
        <f>'1 lentelė'!$B121</f>
        <v>2.2.2.1.5</v>
      </c>
      <c r="C118" s="12" t="str">
        <f>'1 lentelė'!$C121</f>
        <v>R090019-380000-2219</v>
      </c>
      <c r="D118" s="12" t="str">
        <f>'1 lentelė'!$D121</f>
        <v>,,Anykščių rajono kraštovaizdžio estetinio potencialo didinimas likviduojant bešeimininkius  kraštovaizdį darkančius statinius“</v>
      </c>
      <c r="E118" s="12" t="str">
        <f>'1 lentelė'!$E121</f>
        <v>Anykščių rajono savivaldybės administracija</v>
      </c>
      <c r="F118" s="29" t="s">
        <v>66</v>
      </c>
      <c r="G118" s="29" t="s">
        <v>872</v>
      </c>
      <c r="H118" s="26">
        <f>'1 lentelė'!$P121</f>
        <v>238835.47</v>
      </c>
      <c r="I118" s="26">
        <f>'1 lentelė'!$Q121</f>
        <v>203010.14</v>
      </c>
      <c r="J118" s="26">
        <f>'1 lentelė'!$R121</f>
        <v>0</v>
      </c>
      <c r="K118" s="26">
        <f>'1 lentelė'!$S121</f>
        <v>35825.329999999987</v>
      </c>
      <c r="L118" s="26">
        <v>238835.47000000003</v>
      </c>
      <c r="M118" s="26">
        <v>203010.14</v>
      </c>
      <c r="N118" s="26">
        <v>0</v>
      </c>
      <c r="O118" s="26">
        <v>35825.33</v>
      </c>
      <c r="P118" s="26">
        <v>238835.47</v>
      </c>
      <c r="Q118" s="26">
        <v>203010.14</v>
      </c>
      <c r="R118" s="26">
        <v>0</v>
      </c>
      <c r="S118" s="26">
        <v>35825.33</v>
      </c>
      <c r="T118" s="26" t="s">
        <v>1517</v>
      </c>
      <c r="V118" s="40">
        <f t="shared" si="37"/>
        <v>0</v>
      </c>
    </row>
    <row r="119" spans="2:22" s="227" customFormat="1" ht="79.5" customHeight="1" x14ac:dyDescent="0.25">
      <c r="B119" s="12" t="str">
        <f>'1 lentelė'!$B122</f>
        <v>2.2.2.1.6</v>
      </c>
      <c r="C119" s="208" t="str">
        <f>'1 lentelė'!$C122</f>
        <v>R090019-380000-2220</v>
      </c>
      <c r="D119" s="208" t="str">
        <f>'1 lentelė'!$D122</f>
        <v>Kraštovaizdžio formavimas ir ekologinės būklės gerinimas Anykščių rajono savivaldybėje</v>
      </c>
      <c r="E119" s="208" t="str">
        <f>'1 lentelė'!$E122</f>
        <v>Anykščių rajono savivaldybės administracija</v>
      </c>
      <c r="F119" s="192" t="s">
        <v>66</v>
      </c>
      <c r="G119" s="192" t="s">
        <v>872</v>
      </c>
      <c r="H119" s="201">
        <f>'1 lentelė'!$P122</f>
        <v>170426</v>
      </c>
      <c r="I119" s="201">
        <f>'1 lentelė'!$Q122</f>
        <v>144862.1</v>
      </c>
      <c r="J119" s="201">
        <f>'1 lentelė'!$R122</f>
        <v>0</v>
      </c>
      <c r="K119" s="201">
        <f>'1 lentelė'!$S122</f>
        <v>25563.899999999994</v>
      </c>
      <c r="L119" s="201">
        <v>170426</v>
      </c>
      <c r="M119" s="201">
        <v>144862.1</v>
      </c>
      <c r="N119" s="201">
        <v>0</v>
      </c>
      <c r="O119" s="201">
        <v>25563.9</v>
      </c>
      <c r="P119" s="271">
        <v>170426</v>
      </c>
      <c r="Q119" s="271">
        <v>144862.1</v>
      </c>
      <c r="R119" s="201"/>
      <c r="S119" s="271">
        <f>P119-Q119</f>
        <v>25563.899999999994</v>
      </c>
      <c r="T119" s="201" t="s">
        <v>1216</v>
      </c>
      <c r="V119" s="228">
        <f t="shared" si="37"/>
        <v>0</v>
      </c>
    </row>
    <row r="120" spans="2:22" s="27" customFormat="1" ht="126" customHeight="1" x14ac:dyDescent="0.25">
      <c r="B120" s="12" t="str">
        <f>'1 lentelė'!$B123</f>
        <v>2.2.2.1.7</v>
      </c>
      <c r="C120" s="12" t="str">
        <f>'1 lentelė'!$C123</f>
        <v>R090019-380000-2221</v>
      </c>
      <c r="D120" s="12" t="str">
        <f>'1 lentelė'!$D123</f>
        <v>Visagino miesto kraštovaizdžio formavimas, ekologinės būklės gerinimas ir želdynų tvarkymas (kūrimas) gamtinio karkaso teritorijose</v>
      </c>
      <c r="E120" s="12" t="str">
        <f>'1 lentelė'!$E123</f>
        <v>Visagino savivaldybės administracija</v>
      </c>
      <c r="F120" s="29" t="s">
        <v>66</v>
      </c>
      <c r="G120" s="29" t="s">
        <v>1079</v>
      </c>
      <c r="H120" s="201">
        <f>'1 lentelė'!$P123</f>
        <v>469589.24</v>
      </c>
      <c r="I120" s="201">
        <f>'1 lentelė'!$Q123</f>
        <v>399150.85</v>
      </c>
      <c r="J120" s="201">
        <f>'1 lentelė'!$R123</f>
        <v>0</v>
      </c>
      <c r="K120" s="201">
        <f>'1 lentelė'!$S123</f>
        <v>70438.390000000014</v>
      </c>
      <c r="L120" s="26">
        <f>M120+N120+O120</f>
        <v>469589.24</v>
      </c>
      <c r="M120" s="26">
        <v>399150.85</v>
      </c>
      <c r="N120" s="26">
        <v>0</v>
      </c>
      <c r="O120" s="26">
        <v>70438.39</v>
      </c>
      <c r="P120" s="26">
        <v>0</v>
      </c>
      <c r="Q120" s="26">
        <v>0</v>
      </c>
      <c r="R120" s="26">
        <v>0</v>
      </c>
      <c r="S120" s="26">
        <v>0</v>
      </c>
      <c r="T120" s="65"/>
      <c r="V120" s="40">
        <f t="shared" si="37"/>
        <v>0</v>
      </c>
    </row>
    <row r="121" spans="2:22" s="27" customFormat="1" ht="135.75" customHeight="1" x14ac:dyDescent="0.25">
      <c r="B121" s="12" t="str">
        <f>'1 lentelė'!$B124</f>
        <v>2.2.2.1.8</v>
      </c>
      <c r="C121" s="12" t="str">
        <f>'1 lentelė'!$C124</f>
        <v>R090019-380000-2222</v>
      </c>
      <c r="D121" s="12" t="str">
        <f>'1 lentelė'!$D124</f>
        <v>Utenos rajono kraštovaizdžio estetinio potencialo didinimas likviduojant bešeimininkius apleistus, kraštovaizdį darkančius statinius</v>
      </c>
      <c r="E121" s="12" t="str">
        <f>'1 lentelė'!$E124</f>
        <v>Utenos rajono savivaldybės administracija</v>
      </c>
      <c r="F121" s="29" t="s">
        <v>66</v>
      </c>
      <c r="G121" s="29" t="s">
        <v>1079</v>
      </c>
      <c r="H121" s="26">
        <f>'1 lentelė'!$P124</f>
        <v>54753.52</v>
      </c>
      <c r="I121" s="26">
        <f>'1 lentelė'!$Q124</f>
        <v>46540.49</v>
      </c>
      <c r="J121" s="26">
        <f>'1 lentelė'!$R124</f>
        <v>0</v>
      </c>
      <c r="K121" s="26">
        <f>'1 lentelė'!$S124</f>
        <v>8213.0299999999988</v>
      </c>
      <c r="L121" s="26">
        <v>61811.29</v>
      </c>
      <c r="M121" s="26">
        <v>52539.6</v>
      </c>
      <c r="N121" s="26">
        <v>0</v>
      </c>
      <c r="O121" s="26">
        <f>L121-M121</f>
        <v>9271.6900000000023</v>
      </c>
      <c r="P121" s="340">
        <v>41645.75</v>
      </c>
      <c r="Q121" s="340">
        <v>37181.96</v>
      </c>
      <c r="R121" s="26">
        <v>0</v>
      </c>
      <c r="S121" s="340">
        <f>P121-Q121</f>
        <v>4463.7900000000009</v>
      </c>
      <c r="T121" s="65"/>
      <c r="V121" s="40"/>
    </row>
    <row r="122" spans="2:22" s="27" customFormat="1" ht="60.75" customHeight="1" x14ac:dyDescent="0.25">
      <c r="B122" s="12" t="str">
        <f>'1 lentelė'!$B125</f>
        <v>2.2.2.1.9</v>
      </c>
      <c r="C122" s="12" t="str">
        <f>'1 lentelė'!$C125</f>
        <v>R090019-380000-2223</v>
      </c>
      <c r="D122" s="12" t="str">
        <f>'1 lentelė'!$D125</f>
        <v xml:space="preserve">Kraštovaizdžio planavimas, tvarkymas ir būklės gerinimas Molėtų rajone </v>
      </c>
      <c r="E122" s="12" t="str">
        <f>'1 lentelė'!$E125</f>
        <v>Molėtų rajono savivaldybės administracija</v>
      </c>
      <c r="F122" s="29" t="s">
        <v>66</v>
      </c>
      <c r="G122" s="29" t="s">
        <v>1079</v>
      </c>
      <c r="H122" s="26">
        <f>'1 lentelė'!$P125</f>
        <v>271859.99</v>
      </c>
      <c r="I122" s="26">
        <f>'1 lentelė'!$Q125</f>
        <v>231080.99</v>
      </c>
      <c r="J122" s="26">
        <f>'1 lentelė'!$R125</f>
        <v>0</v>
      </c>
      <c r="K122" s="26">
        <f>'1 lentelė'!$S125</f>
        <v>40779</v>
      </c>
      <c r="L122" s="26">
        <f>M122+O122</f>
        <v>271859.99</v>
      </c>
      <c r="M122" s="26">
        <v>231080.99</v>
      </c>
      <c r="N122" s="26">
        <v>0</v>
      </c>
      <c r="O122" s="26">
        <v>40779</v>
      </c>
      <c r="P122" s="340">
        <v>264938.27</v>
      </c>
      <c r="Q122" s="47">
        <v>231080.98</v>
      </c>
      <c r="R122" s="26">
        <v>0</v>
      </c>
      <c r="S122" s="340">
        <f>P122-Q122</f>
        <v>33857.290000000008</v>
      </c>
      <c r="T122" s="266"/>
      <c r="V122" s="40">
        <f t="shared" si="37"/>
        <v>0</v>
      </c>
    </row>
    <row r="123" spans="2:22" s="6" customFormat="1" ht="87.75" customHeight="1" x14ac:dyDescent="0.25">
      <c r="B123" s="12" t="str">
        <f>'1 lentelė'!$B126</f>
        <v>2.2.2.1.10</v>
      </c>
      <c r="C123" s="12" t="str">
        <f>'1 lentelė'!$C126</f>
        <v>R090019-380000-2224</v>
      </c>
      <c r="D123" s="12" t="str">
        <f>'1 lentelė'!$D126</f>
        <v>Kraštovaizdžio formavimas, pažeistų žemių tvarkymas Ignalinos rajone ir bendrųjų planų tikslinimas</v>
      </c>
      <c r="E123" s="12" t="str">
        <f>'1 lentelė'!$E126</f>
        <v>Ignalinos rajono savivaldybės administracija</v>
      </c>
      <c r="F123" s="29" t="s">
        <v>66</v>
      </c>
      <c r="G123" s="29" t="s">
        <v>1516</v>
      </c>
      <c r="H123" s="23">
        <f>'1 lentelė'!$P126</f>
        <v>588235.30000000005</v>
      </c>
      <c r="I123" s="23">
        <f>'1 lentelė'!$Q126</f>
        <v>500000</v>
      </c>
      <c r="J123" s="23">
        <f>'1 lentelė'!$R126</f>
        <v>0</v>
      </c>
      <c r="K123" s="23">
        <f>'1 lentelė'!$S126</f>
        <v>88235.300000000047</v>
      </c>
      <c r="L123" s="23">
        <v>0</v>
      </c>
      <c r="M123" s="23">
        <v>0</v>
      </c>
      <c r="N123" s="23">
        <v>0</v>
      </c>
      <c r="O123" s="23">
        <v>0</v>
      </c>
      <c r="P123" s="23">
        <v>0</v>
      </c>
      <c r="Q123" s="23">
        <v>0</v>
      </c>
      <c r="R123" s="23">
        <v>0</v>
      </c>
      <c r="S123" s="23">
        <v>0</v>
      </c>
      <c r="T123" s="48"/>
      <c r="V123" s="40">
        <f t="shared" si="37"/>
        <v>0</v>
      </c>
    </row>
    <row r="124" spans="2:22" s="6" customFormat="1" ht="78.75" customHeight="1" x14ac:dyDescent="0.25">
      <c r="B124" s="12" t="str">
        <f>'1 lentelė'!$B127</f>
        <v>2.2.2.1.11</v>
      </c>
      <c r="C124" s="12" t="str">
        <f>'1 lentelė'!$C127</f>
        <v>R090019-380000-2225</v>
      </c>
      <c r="D124" s="12" t="str">
        <f>'1 lentelė'!$D127</f>
        <v>Bešeimininkių apleistų statinių likvidavimas Molėtų rajono savivaldybėje</v>
      </c>
      <c r="E124" s="12" t="str">
        <f>'1 lentelė'!$E127</f>
        <v>Molėtų rajono savivaldybės administracija</v>
      </c>
      <c r="F124" s="29" t="s">
        <v>66</v>
      </c>
      <c r="G124" s="29" t="s">
        <v>1079</v>
      </c>
      <c r="H124" s="23">
        <f>'1 lentelė'!$P127</f>
        <v>53964.47</v>
      </c>
      <c r="I124" s="23">
        <f>'1 lentelė'!$Q127</f>
        <v>45869.8</v>
      </c>
      <c r="J124" s="23">
        <f>'1 lentelė'!$R127</f>
        <v>0</v>
      </c>
      <c r="K124" s="23">
        <f>'1 lentelė'!$S127</f>
        <v>8094.67</v>
      </c>
      <c r="L124" s="23">
        <v>41686.44</v>
      </c>
      <c r="M124" s="23">
        <v>22507.37</v>
      </c>
      <c r="N124" s="23">
        <v>0</v>
      </c>
      <c r="O124" s="23">
        <f>L124-M124</f>
        <v>19179.070000000003</v>
      </c>
      <c r="P124" s="23">
        <v>0</v>
      </c>
      <c r="Q124" s="23">
        <v>0</v>
      </c>
      <c r="R124" s="23">
        <v>0</v>
      </c>
      <c r="S124" s="23">
        <v>0</v>
      </c>
      <c r="T124" s="48"/>
      <c r="V124" s="40"/>
    </row>
    <row r="125" spans="2:22" s="6" customFormat="1" ht="71.25" customHeight="1" x14ac:dyDescent="0.25">
      <c r="B125" s="12" t="str">
        <f>'1 lentelė'!$B128</f>
        <v>2.2.2.1.12</v>
      </c>
      <c r="C125" s="12" t="str">
        <f>'1 lentelė'!$C128</f>
        <v>R090019-380000-2226</v>
      </c>
      <c r="D125" s="12" t="str">
        <f>'1 lentelė'!$D128</f>
        <v>Bešeimininkių apleistų pastatų likvidavimas Zarasų rajone</v>
      </c>
      <c r="E125" s="12" t="str">
        <f>'1 lentelė'!$E128</f>
        <v>Zarasų rajono savivaldybės administracija</v>
      </c>
      <c r="F125" s="29" t="s">
        <v>66</v>
      </c>
      <c r="G125" s="29" t="s">
        <v>1079</v>
      </c>
      <c r="H125" s="23">
        <f>'1 lentelė'!$P128</f>
        <v>15203.55</v>
      </c>
      <c r="I125" s="23">
        <f>'1 lentelė'!$Q128</f>
        <v>12923</v>
      </c>
      <c r="J125" s="23">
        <f>'1 lentelė'!$R128</f>
        <v>0</v>
      </c>
      <c r="K125" s="23">
        <f>'1 lentelė'!$S128</f>
        <v>2280.5499999999993</v>
      </c>
      <c r="L125" s="23">
        <v>15203.55</v>
      </c>
      <c r="M125" s="23">
        <v>12923</v>
      </c>
      <c r="N125" s="23">
        <v>0</v>
      </c>
      <c r="O125" s="23">
        <f>L125-M125</f>
        <v>2280.5499999999993</v>
      </c>
      <c r="P125" s="23">
        <v>0</v>
      </c>
      <c r="Q125" s="23">
        <v>0</v>
      </c>
      <c r="R125" s="23">
        <v>0</v>
      </c>
      <c r="S125" s="23">
        <v>0</v>
      </c>
      <c r="T125" s="48"/>
      <c r="V125" s="40"/>
    </row>
    <row r="126" spans="2:22" s="6" customFormat="1" ht="93" customHeight="1" x14ac:dyDescent="0.25">
      <c r="B126" s="74" t="str">
        <f>'1 lentelė'!$B129</f>
        <v xml:space="preserve">2.3 </v>
      </c>
      <c r="C126" s="74"/>
      <c r="D126" s="45" t="str">
        <f>'1 lentelė'!$D129</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25">
      <c r="B127" s="42" t="str">
        <f>'1 lentelė'!$B130</f>
        <v>2.3.1</v>
      </c>
      <c r="C127" s="42"/>
      <c r="D127" s="42" t="str">
        <f>'1 lentelė'!$D130</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3.75" customHeight="1" x14ac:dyDescent="0.25">
      <c r="B128" s="44" t="str">
        <f>'1 lentelė'!$B131</f>
        <v>2.3.1.1</v>
      </c>
      <c r="C128" s="232" t="s">
        <v>1170</v>
      </c>
      <c r="D128" s="76" t="str">
        <f>'1 lentelė'!$D131</f>
        <v>Priemonė: Sukurti ir (arba) išplėtoti pramoninių parkų infrastruktūrą ir taip sudaryti sąlygas pritraukti tiesioginių užsienio investicijų sumanios specializacijos srityse (valstybinė SMART PARK LT)</v>
      </c>
      <c r="E128" s="44"/>
      <c r="F128" s="44"/>
      <c r="G128" s="44"/>
      <c r="H128" s="263">
        <f>SUM(H129)</f>
        <v>2044376</v>
      </c>
      <c r="I128" s="263">
        <f t="shared" ref="I128:S128" si="38">SUM(I129)</f>
        <v>1737720</v>
      </c>
      <c r="J128" s="263">
        <f t="shared" si="38"/>
        <v>0</v>
      </c>
      <c r="K128" s="263">
        <f t="shared" si="38"/>
        <v>306656</v>
      </c>
      <c r="L128" s="263">
        <f t="shared" si="38"/>
        <v>0</v>
      </c>
      <c r="M128" s="263">
        <f t="shared" si="38"/>
        <v>0</v>
      </c>
      <c r="N128" s="263">
        <f t="shared" si="38"/>
        <v>0</v>
      </c>
      <c r="O128" s="263">
        <f t="shared" si="38"/>
        <v>0</v>
      </c>
      <c r="P128" s="263">
        <f t="shared" si="38"/>
        <v>0</v>
      </c>
      <c r="Q128" s="263">
        <f t="shared" si="38"/>
        <v>0</v>
      </c>
      <c r="R128" s="263">
        <f t="shared" si="38"/>
        <v>0</v>
      </c>
      <c r="S128" s="263">
        <f t="shared" si="38"/>
        <v>0</v>
      </c>
      <c r="T128" s="29"/>
    </row>
    <row r="129" spans="2:22" s="6" customFormat="1" ht="138.75" customHeight="1" x14ac:dyDescent="0.25">
      <c r="B129" s="12" t="str">
        <f>'1 lentelė'!$B132</f>
        <v>2.3.1.1.1</v>
      </c>
      <c r="C129" s="12" t="str">
        <f>'1 lentelė'!$C132</f>
        <v>R098830-360000-2301</v>
      </c>
      <c r="D129" s="12" t="str">
        <f>'1 lentelė'!$D132</f>
        <v>Investicijos į Visagine kuriamo pramoninio parko (SMART PARK) inžinerinius tinklus ir susisiekimo komunikacijas bei pramoninio parko rinkodarą</v>
      </c>
      <c r="E129" s="12" t="str">
        <f>'1 lentelė'!$E132</f>
        <v>Visagino savivaldybės administracija</v>
      </c>
      <c r="F129" s="29" t="s">
        <v>65</v>
      </c>
      <c r="G129" s="29" t="s">
        <v>66</v>
      </c>
      <c r="H129" s="23">
        <f>'1 lentelė'!$P132</f>
        <v>2044376</v>
      </c>
      <c r="I129" s="23">
        <f>'1 lentelė'!$Q132</f>
        <v>1737720</v>
      </c>
      <c r="J129" s="23">
        <f>'1 lentelė'!$R132</f>
        <v>0</v>
      </c>
      <c r="K129" s="23">
        <f>'1 lentelė'!$S132</f>
        <v>306656</v>
      </c>
      <c r="L129" s="23">
        <v>0</v>
      </c>
      <c r="M129" s="23">
        <v>0</v>
      </c>
      <c r="N129" s="23">
        <v>0</v>
      </c>
      <c r="O129" s="23">
        <v>0</v>
      </c>
      <c r="P129" s="235">
        <v>0</v>
      </c>
      <c r="Q129" s="235">
        <v>0</v>
      </c>
      <c r="R129" s="235">
        <v>0</v>
      </c>
      <c r="S129" s="235">
        <v>0</v>
      </c>
      <c r="T129" s="23" t="s">
        <v>881</v>
      </c>
    </row>
    <row r="130" spans="2:22" s="6" customFormat="1" ht="65.25" customHeight="1" x14ac:dyDescent="0.25">
      <c r="B130" s="42" t="str">
        <f>'1 lentelė'!$B133</f>
        <v>2.3.2</v>
      </c>
      <c r="C130" s="42"/>
      <c r="D130" s="42" t="str">
        <f>'1 lentelė'!$D133</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25">
      <c r="B131" s="44" t="str">
        <f>'1 lentelė'!$B134</f>
        <v>2.3.2.1</v>
      </c>
      <c r="C131" s="44"/>
      <c r="D131" s="76" t="str">
        <f>'1 lentelė'!$D134</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25">
      <c r="B132" s="42" t="str">
        <f>'1 lentelė'!$B135</f>
        <v>2.3.3</v>
      </c>
      <c r="C132" s="42"/>
      <c r="D132" s="42" t="str">
        <f>'1 lentelė'!$D135</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25">
      <c r="B133" s="44" t="str">
        <f>'1 lentelė'!$B136</f>
        <v>2.3.3.1</v>
      </c>
      <c r="C133" s="44"/>
      <c r="D133" s="76" t="str">
        <f>'1 lentelė'!$D136</f>
        <v>Priemonė: Skatinti užimtumą regione</v>
      </c>
      <c r="E133" s="44"/>
      <c r="F133" s="44"/>
      <c r="G133" s="44"/>
      <c r="H133" s="263">
        <f>SUM(H134)</f>
        <v>7000000</v>
      </c>
      <c r="I133" s="263">
        <f t="shared" ref="I133:S133" si="39">SUM(I134)</f>
        <v>0</v>
      </c>
      <c r="J133" s="263">
        <f t="shared" si="39"/>
        <v>0</v>
      </c>
      <c r="K133" s="263">
        <f t="shared" si="39"/>
        <v>7000000</v>
      </c>
      <c r="L133" s="263">
        <f t="shared" si="39"/>
        <v>0</v>
      </c>
      <c r="M133" s="263">
        <f t="shared" si="39"/>
        <v>0</v>
      </c>
      <c r="N133" s="263">
        <f t="shared" si="39"/>
        <v>0</v>
      </c>
      <c r="O133" s="263">
        <f t="shared" si="39"/>
        <v>0</v>
      </c>
      <c r="P133" s="263">
        <f t="shared" si="39"/>
        <v>1000000</v>
      </c>
      <c r="Q133" s="263">
        <f t="shared" si="39"/>
        <v>0</v>
      </c>
      <c r="R133" s="263">
        <f t="shared" si="39"/>
        <v>0</v>
      </c>
      <c r="S133" s="263">
        <f t="shared" si="39"/>
        <v>1000000</v>
      </c>
      <c r="T133" s="29"/>
    </row>
    <row r="134" spans="2:22" s="27" customFormat="1" ht="100.5" customHeight="1" x14ac:dyDescent="0.25">
      <c r="B134" s="12" t="str">
        <f>'1 lentelė'!$B137</f>
        <v>2.3.3.1.1</v>
      </c>
      <c r="C134" s="12" t="str">
        <f>'1 lentelė'!$C137</f>
        <v>R09B000-510000-2302</v>
      </c>
      <c r="D134" s="12" t="str">
        <f>'1 lentelė'!$D137</f>
        <v>Pasaulinio medicininių produktų gamintojo plėtros projektas                         (URPT 2018-06-07 sprendimas Nr.51/7S-31)</v>
      </c>
      <c r="E134" s="12" t="str">
        <f>'1 lentelė'!$E137</f>
        <v>,,INTERSURGICAL" įmonių grupė</v>
      </c>
      <c r="F134" s="33" t="s">
        <v>31</v>
      </c>
      <c r="G134" s="33" t="s">
        <v>66</v>
      </c>
      <c r="H134" s="23">
        <f>'1 lentelė'!$P137</f>
        <v>7000000</v>
      </c>
      <c r="I134" s="23">
        <f>'1 lentelė'!$Q137</f>
        <v>0</v>
      </c>
      <c r="J134" s="23">
        <f>'1 lentelė'!$R137</f>
        <v>0</v>
      </c>
      <c r="K134" s="23">
        <f>'1 lentelė'!$S137</f>
        <v>7000000</v>
      </c>
      <c r="L134" s="26">
        <v>0</v>
      </c>
      <c r="M134" s="26">
        <v>0</v>
      </c>
      <c r="N134" s="26">
        <v>0</v>
      </c>
      <c r="O134" s="26">
        <v>0</v>
      </c>
      <c r="P134" s="26">
        <v>1000000</v>
      </c>
      <c r="Q134" s="26">
        <v>0</v>
      </c>
      <c r="R134" s="26">
        <v>0</v>
      </c>
      <c r="S134" s="26">
        <v>1000000</v>
      </c>
      <c r="T134" s="85"/>
    </row>
    <row r="135" spans="2:22" s="6" customFormat="1" ht="55.5" customHeight="1" x14ac:dyDescent="0.25">
      <c r="B135" s="57" t="str">
        <f>'1 lentelė'!$B138</f>
        <v>3.</v>
      </c>
      <c r="C135" s="57"/>
      <c r="D135" s="73" t="str">
        <f>'1 lentelė'!$D138</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25">
      <c r="B136" s="46" t="str">
        <f>'1 lentelė'!$B139</f>
        <v xml:space="preserve">3.1 </v>
      </c>
      <c r="C136" s="46"/>
      <c r="D136" s="46" t="str">
        <f>'1 lentelė'!$D139</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25">
      <c r="B137" s="42" t="str">
        <f>'1 lentelė'!$B140</f>
        <v>3.1.1</v>
      </c>
      <c r="C137" s="42"/>
      <c r="D137" s="42" t="str">
        <f>'1 lentelė'!$D140</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25">
      <c r="B138" s="44" t="str">
        <f>'1 lentelė'!$B141</f>
        <v>3.1.1.1</v>
      </c>
      <c r="C138" s="232" t="s">
        <v>460</v>
      </c>
      <c r="D138" s="76" t="str">
        <f>'1 lentelė'!$D141</f>
        <v>Priemonė: Ikimokyklinio ir priešmokyklinio ugdymo prieinamumo didinimas</v>
      </c>
      <c r="E138" s="44"/>
      <c r="F138" s="44"/>
      <c r="G138" s="44"/>
      <c r="H138" s="263">
        <f>SUM(H140+H141)</f>
        <v>998775.3</v>
      </c>
      <c r="I138" s="263">
        <f t="shared" ref="I138:S138" si="40">SUM(I140+I141)</f>
        <v>845100.65</v>
      </c>
      <c r="J138" s="263">
        <f t="shared" si="40"/>
        <v>74567.7</v>
      </c>
      <c r="K138" s="263">
        <f t="shared" si="40"/>
        <v>79106.950000000026</v>
      </c>
      <c r="L138" s="263">
        <f t="shared" si="40"/>
        <v>609261.09</v>
      </c>
      <c r="M138" s="263">
        <f t="shared" si="40"/>
        <v>517871.92</v>
      </c>
      <c r="N138" s="263">
        <f t="shared" si="40"/>
        <v>45694.58</v>
      </c>
      <c r="O138" s="263">
        <f t="shared" si="40"/>
        <v>45694.589999999982</v>
      </c>
      <c r="P138" s="263">
        <f t="shared" si="40"/>
        <v>444590.87</v>
      </c>
      <c r="Q138" s="263">
        <f t="shared" si="40"/>
        <v>394442.78</v>
      </c>
      <c r="R138" s="263">
        <f t="shared" si="40"/>
        <v>25074.04</v>
      </c>
      <c r="S138" s="263">
        <f t="shared" si="40"/>
        <v>25074.049999999967</v>
      </c>
      <c r="T138" s="29"/>
    </row>
    <row r="139" spans="2:22" s="6" customFormat="1" ht="20.25" hidden="1" customHeight="1" x14ac:dyDescent="0.2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25">
      <c r="B140" s="12" t="str">
        <f>'1 lentelė'!$B142</f>
        <v>3.1.1.1.2</v>
      </c>
      <c r="C140" s="12" t="str">
        <f>'1 lentelė'!$C142</f>
        <v>R097705-230000-3102</v>
      </c>
      <c r="D140" s="12" t="str">
        <f>'1 lentelė'!$D142</f>
        <v>Utenos vaikų lopšelio darželio „Šaltinėlis“ vidaus patalpų modernizavimas</v>
      </c>
      <c r="E140" s="12" t="str">
        <f>'1 lentelė'!$E142</f>
        <v>Utenos rajono savivaldybės administracija</v>
      </c>
      <c r="F140" s="29" t="s">
        <v>65</v>
      </c>
      <c r="G140" s="33" t="s">
        <v>1079</v>
      </c>
      <c r="H140" s="26">
        <f>'1 lentelė'!$P142</f>
        <v>635775.30000000005</v>
      </c>
      <c r="I140" s="26">
        <f>'1 lentelė'!$Q142</f>
        <v>536550.65</v>
      </c>
      <c r="J140" s="26">
        <f>'1 lentelė'!$R142</f>
        <v>47342.7</v>
      </c>
      <c r="K140" s="26">
        <f>'1 lentelė'!$S142</f>
        <v>51881.950000000026</v>
      </c>
      <c r="L140" s="26">
        <v>609261.09</v>
      </c>
      <c r="M140" s="26">
        <v>517871.92</v>
      </c>
      <c r="N140" s="26">
        <v>45694.58</v>
      </c>
      <c r="O140" s="26">
        <f>L140-M140-N140</f>
        <v>45694.589999999982</v>
      </c>
      <c r="P140" s="26">
        <v>444590.87</v>
      </c>
      <c r="Q140" s="26">
        <v>394442.78</v>
      </c>
      <c r="R140" s="26">
        <v>25074.04</v>
      </c>
      <c r="S140" s="26">
        <f>P140-Q140-R140</f>
        <v>25074.049999999967</v>
      </c>
      <c r="T140" s="26"/>
      <c r="V140" s="40">
        <f>L140-M140-N140-O140</f>
        <v>0</v>
      </c>
    </row>
    <row r="141" spans="2:22" s="27" customFormat="1" ht="77.25" customHeight="1" x14ac:dyDescent="0.25">
      <c r="B141" s="12" t="str">
        <f>'1 lentelė'!$B143</f>
        <v>3.1.1.1.3</v>
      </c>
      <c r="C141" s="12" t="str">
        <f>'1 lentelė'!$C143</f>
        <v>R097705-230000-3103</v>
      </c>
      <c r="D141" s="12" t="str">
        <f>'1 lentelė'!$D143</f>
        <v>Utenos vaikų lopšelio – darželio ,,Pasaka" vidaus patalpų modernizavimas</v>
      </c>
      <c r="E141" s="12" t="str">
        <f>'1 lentelė'!$E143</f>
        <v>Utenos rajono savivaldybės administracija</v>
      </c>
      <c r="F141" s="33" t="s">
        <v>66</v>
      </c>
      <c r="G141" s="33" t="s">
        <v>66</v>
      </c>
      <c r="H141" s="26">
        <f>'1 lentelė'!$P143</f>
        <v>363000</v>
      </c>
      <c r="I141" s="26">
        <f>'1 lentelė'!$Q143</f>
        <v>308550</v>
      </c>
      <c r="J141" s="26">
        <f>'1 lentelė'!$R143</f>
        <v>27225</v>
      </c>
      <c r="K141" s="26">
        <f>'1 lentelė'!$S143</f>
        <v>27225</v>
      </c>
      <c r="L141" s="26">
        <v>0</v>
      </c>
      <c r="M141" s="26">
        <v>0</v>
      </c>
      <c r="N141" s="26">
        <v>0</v>
      </c>
      <c r="O141" s="26">
        <v>0</v>
      </c>
      <c r="P141" s="26">
        <v>0</v>
      </c>
      <c r="Q141" s="26">
        <v>0</v>
      </c>
      <c r="R141" s="26">
        <v>0</v>
      </c>
      <c r="S141" s="26">
        <v>0</v>
      </c>
      <c r="T141" s="26"/>
      <c r="V141" s="40"/>
    </row>
    <row r="142" spans="2:22" s="6" customFormat="1" ht="72.75" customHeight="1" x14ac:dyDescent="0.25">
      <c r="B142" s="44" t="str">
        <f>'1 lentelė'!$B144</f>
        <v>3.1.1.2</v>
      </c>
      <c r="C142" s="232" t="s">
        <v>1171</v>
      </c>
      <c r="D142" s="76" t="str">
        <f>'1 lentelė'!$D144</f>
        <v>Priemonė:  Mokyklų tinklo efektyvumo didinimas</v>
      </c>
      <c r="E142" s="44"/>
      <c r="F142" s="44"/>
      <c r="G142" s="44"/>
      <c r="H142" s="263">
        <f>SUM(H143:H145)</f>
        <v>1226029.76</v>
      </c>
      <c r="I142" s="263">
        <f t="shared" ref="I142:S142" si="41">SUM(I143:I145)</f>
        <v>830529</v>
      </c>
      <c r="J142" s="263">
        <f t="shared" si="41"/>
        <v>73280.649999999994</v>
      </c>
      <c r="K142" s="263">
        <f t="shared" si="41"/>
        <v>322220.11000000004</v>
      </c>
      <c r="L142" s="263">
        <f t="shared" si="41"/>
        <v>1226029.7599999998</v>
      </c>
      <c r="M142" s="263">
        <f t="shared" si="41"/>
        <v>830529</v>
      </c>
      <c r="N142" s="263">
        <f t="shared" si="41"/>
        <v>73280.649999999994</v>
      </c>
      <c r="O142" s="263">
        <f t="shared" si="41"/>
        <v>322220.10999999993</v>
      </c>
      <c r="P142" s="263">
        <f t="shared" si="41"/>
        <v>701388.01</v>
      </c>
      <c r="Q142" s="263">
        <f t="shared" si="41"/>
        <v>558278.04999999993</v>
      </c>
      <c r="R142" s="263">
        <f t="shared" si="41"/>
        <v>49259.17</v>
      </c>
      <c r="S142" s="263">
        <f t="shared" si="41"/>
        <v>93850.790000000008</v>
      </c>
      <c r="T142" s="29"/>
    </row>
    <row r="143" spans="2:22" s="27" customFormat="1" ht="101.25" customHeight="1" x14ac:dyDescent="0.25">
      <c r="B143" s="12" t="str">
        <f>'1 lentelė'!$B145</f>
        <v>3.1.1.2.1</v>
      </c>
      <c r="C143" s="12" t="str">
        <f>'1 lentelė'!$C145</f>
        <v>R097724-220000-3103</v>
      </c>
      <c r="D143" s="12" t="str">
        <f>'1 lentelė'!$D145</f>
        <v xml:space="preserve">Anykščių miesto A.Vienuolio progimnazijos modernizavimas (vidaus erdvių remontas ir aprūpinimas įranga) </v>
      </c>
      <c r="E143" s="12" t="str">
        <f>'1 lentelė'!$E145</f>
        <v>Anykščių rajono savivaldybės administracija</v>
      </c>
      <c r="F143" s="29" t="s">
        <v>65</v>
      </c>
      <c r="G143" s="33" t="s">
        <v>1079</v>
      </c>
      <c r="H143" s="26">
        <f>'1 lentelė'!$P145</f>
        <v>506137.67</v>
      </c>
      <c r="I143" s="26">
        <f>'1 lentelė'!$Q145</f>
        <v>276000</v>
      </c>
      <c r="J143" s="26">
        <f>'1 lentelė'!$R145</f>
        <v>24352</v>
      </c>
      <c r="K143" s="26">
        <f>'1 lentelė'!$S145</f>
        <v>205785.67</v>
      </c>
      <c r="L143" s="26">
        <v>506137.67</v>
      </c>
      <c r="M143" s="26">
        <v>276000</v>
      </c>
      <c r="N143" s="26">
        <v>24352</v>
      </c>
      <c r="O143" s="26">
        <f>L143-M143-N143</f>
        <v>205785.66999999998</v>
      </c>
      <c r="P143" s="26">
        <f>Q143+R143+S143</f>
        <v>138242.4</v>
      </c>
      <c r="Q143" s="26">
        <v>109049.29</v>
      </c>
      <c r="R143" s="26">
        <v>9621.6200000000008</v>
      </c>
      <c r="S143" s="26">
        <v>19571.490000000002</v>
      </c>
      <c r="T143" s="26"/>
      <c r="V143" s="40">
        <f>L143-M143-N143-O143</f>
        <v>0</v>
      </c>
    </row>
    <row r="144" spans="2:22" s="27" customFormat="1" ht="99.75" customHeight="1" x14ac:dyDescent="0.25">
      <c r="B144" s="12" t="str">
        <f>'1 lentelė'!$B146</f>
        <v>3.1.1.2.2</v>
      </c>
      <c r="C144" s="12" t="str">
        <f>'1 lentelė'!$C146</f>
        <v>R097724-220000-3104</v>
      </c>
      <c r="D144" s="12" t="str">
        <f>'1 lentelė'!$D146</f>
        <v xml:space="preserve">„Kūrybiškumą skatinančių edukacinių erdvių kūrimas Molėtų gimnazijos vidaus patalpose“ </v>
      </c>
      <c r="E144" s="12" t="str">
        <f>'1 lentelė'!$E146</f>
        <v>Molėtų rajono savivaldybės administracija</v>
      </c>
      <c r="F144" s="33" t="s">
        <v>66</v>
      </c>
      <c r="G144" s="33" t="s">
        <v>1079</v>
      </c>
      <c r="H144" s="26">
        <f>'1 lentelė'!$P146</f>
        <v>361401</v>
      </c>
      <c r="I144" s="26">
        <f>'1 lentelė'!$Q146</f>
        <v>282125</v>
      </c>
      <c r="J144" s="26">
        <f>'1 lentelė'!$R146</f>
        <v>24893</v>
      </c>
      <c r="K144" s="26">
        <f>'1 lentelė'!$S146</f>
        <v>54383</v>
      </c>
      <c r="L144" s="26">
        <v>361401</v>
      </c>
      <c r="M144" s="26">
        <v>282125</v>
      </c>
      <c r="N144" s="26">
        <v>24893</v>
      </c>
      <c r="O144" s="26">
        <v>54383</v>
      </c>
      <c r="P144" s="340">
        <v>253113.38</v>
      </c>
      <c r="Q144" s="25">
        <v>210327.18</v>
      </c>
      <c r="R144" s="25">
        <v>18558</v>
      </c>
      <c r="S144" s="340">
        <f>P144-Q144-R144</f>
        <v>24228.200000000012</v>
      </c>
      <c r="T144" s="26"/>
      <c r="V144" s="40">
        <f t="shared" ref="V144:V145" si="42">L144-M144-N144-O144</f>
        <v>0</v>
      </c>
    </row>
    <row r="145" spans="2:26" s="27" customFormat="1" ht="78.75" customHeight="1" x14ac:dyDescent="0.25">
      <c r="B145" s="12" t="str">
        <f>'1 lentelė'!$B147</f>
        <v>3.1.1.2.3</v>
      </c>
      <c r="C145" s="12" t="str">
        <f>'1 lentelė'!$C147</f>
        <v>R097724-220000-3105</v>
      </c>
      <c r="D145" s="12" t="str">
        <f>'1 lentelė'!$D147</f>
        <v xml:space="preserve">„Edukacinių erdvių kūrimas Ignalinos Česlovo Kudabos progimnazijoje“ </v>
      </c>
      <c r="E145" s="12" t="str">
        <f>'1 lentelė'!$E147</f>
        <v>Ignalinos rajono savivaldybės administracija</v>
      </c>
      <c r="F145" s="33" t="s">
        <v>66</v>
      </c>
      <c r="G145" s="33" t="s">
        <v>1079</v>
      </c>
      <c r="H145" s="26">
        <f>'1 lentelė'!$P147</f>
        <v>358491.09</v>
      </c>
      <c r="I145" s="26">
        <f>'1 lentelė'!$Q147</f>
        <v>272404</v>
      </c>
      <c r="J145" s="26">
        <f>'1 lentelė'!$R147</f>
        <v>24035.65</v>
      </c>
      <c r="K145" s="26">
        <f>'1 lentelė'!$S147</f>
        <v>62051.440000000024</v>
      </c>
      <c r="L145" s="26">
        <v>358491.08999999997</v>
      </c>
      <c r="M145" s="26">
        <v>272404</v>
      </c>
      <c r="N145" s="26">
        <v>24035.65</v>
      </c>
      <c r="O145" s="26">
        <f>L145-M145-N145</f>
        <v>62051.439999999966</v>
      </c>
      <c r="P145" s="26">
        <v>310032.23</v>
      </c>
      <c r="Q145" s="26">
        <v>238901.58</v>
      </c>
      <c r="R145" s="26">
        <v>21079.55</v>
      </c>
      <c r="S145" s="26">
        <f>P145-Q145-R145</f>
        <v>50051.099999999991</v>
      </c>
      <c r="T145" s="26"/>
      <c r="V145" s="40">
        <f t="shared" si="42"/>
        <v>0</v>
      </c>
    </row>
    <row r="146" spans="2:26" s="6" customFormat="1" ht="65.25" customHeight="1" x14ac:dyDescent="0.25">
      <c r="B146" s="42" t="str">
        <f>'1 lentelė'!$B148</f>
        <v>3.1.2</v>
      </c>
      <c r="C146" s="42"/>
      <c r="D146" s="42" t="str">
        <f>'1 lentelė'!$D148</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25">
      <c r="B147" s="44" t="str">
        <f>'1 lentelė'!$B149</f>
        <v>3.1.2.1</v>
      </c>
      <c r="C147" s="232" t="s">
        <v>482</v>
      </c>
      <c r="D147" s="76" t="str">
        <f>'1 lentelė'!$D149</f>
        <v>Priemonė: Neformaliojo švietimo infrastruktūros tobulinimas</v>
      </c>
      <c r="E147" s="44"/>
      <c r="F147" s="44"/>
      <c r="G147" s="44"/>
      <c r="H147" s="263">
        <f>SUM(H148:H149)</f>
        <v>1666630.9</v>
      </c>
      <c r="I147" s="263">
        <f t="shared" ref="I147:S147" si="43">SUM(I148:I149)</f>
        <v>1404711</v>
      </c>
      <c r="J147" s="263">
        <f t="shared" si="43"/>
        <v>0</v>
      </c>
      <c r="K147" s="263">
        <f t="shared" si="43"/>
        <v>261919.89999999991</v>
      </c>
      <c r="L147" s="263">
        <f t="shared" si="43"/>
        <v>1666630.9</v>
      </c>
      <c r="M147" s="263">
        <f t="shared" si="43"/>
        <v>1404711</v>
      </c>
      <c r="N147" s="263">
        <f t="shared" si="43"/>
        <v>0</v>
      </c>
      <c r="O147" s="263">
        <f t="shared" si="43"/>
        <v>261919.9</v>
      </c>
      <c r="P147" s="263">
        <f t="shared" si="43"/>
        <v>947072.24</v>
      </c>
      <c r="Q147" s="263">
        <f t="shared" si="43"/>
        <v>838081.15</v>
      </c>
      <c r="R147" s="263">
        <f t="shared" si="43"/>
        <v>0</v>
      </c>
      <c r="S147" s="263">
        <f t="shared" si="43"/>
        <v>108991.08999999994</v>
      </c>
      <c r="T147" s="29"/>
    </row>
    <row r="148" spans="2:26" s="27" customFormat="1" ht="135.75" customHeight="1" x14ac:dyDescent="0.25">
      <c r="B148" s="12" t="str">
        <f>'1 lentelė'!$B150</f>
        <v>3.1.2.1.1</v>
      </c>
      <c r="C148" s="12" t="str">
        <f>'1 lentelė'!$C150</f>
        <v>R097725-240000-3106</v>
      </c>
      <c r="D148" s="12" t="str">
        <f>'1 lentelė'!$D150</f>
        <v xml:space="preserve">Vaikų ir jaunimo neformalaus ugdymosi galimybių plėtra Anykščių kūno kultūros ir sporto centrui priklausančiuose A. Vienuolio progimnazijos patalpose </v>
      </c>
      <c r="E148" s="12" t="str">
        <f>'1 lentelė'!$E150</f>
        <v>Anykščių rajono savivaldybės administracija</v>
      </c>
      <c r="F148" s="29" t="s">
        <v>65</v>
      </c>
      <c r="G148" s="33" t="s">
        <v>1079</v>
      </c>
      <c r="H148" s="26">
        <f>'1 lentelė'!$P150</f>
        <v>320628</v>
      </c>
      <c r="I148" s="26">
        <f>'1 lentelė'!$Q150</f>
        <v>272533</v>
      </c>
      <c r="J148" s="26">
        <f>'1 lentelė'!$R150</f>
        <v>0</v>
      </c>
      <c r="K148" s="26">
        <f>'1 lentelė'!$S150</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25">
      <c r="B149" s="12" t="str">
        <f>'1 lentelė'!$B151</f>
        <v xml:space="preserve">3.1.2.1.2 </v>
      </c>
      <c r="C149" s="12" t="str">
        <f>'1 lentelė'!$C151</f>
        <v>R097725-243200-3107</v>
      </c>
      <c r="D149" s="12" t="str">
        <f>'1 lentelė'!$D151</f>
        <v>Zarasų sporto centro erdvių atnaujinimas</v>
      </c>
      <c r="E149" s="12" t="str">
        <f>'1 lentelė'!$E151</f>
        <v xml:space="preserve">Zarasų rajono savivaldybės administracija </v>
      </c>
      <c r="F149" s="29" t="s">
        <v>30</v>
      </c>
      <c r="G149" s="33" t="s">
        <v>1079</v>
      </c>
      <c r="H149" s="23">
        <f>'1 lentelė'!$P151</f>
        <v>1346002.9</v>
      </c>
      <c r="I149" s="23">
        <f>'1 lentelė'!$Q151</f>
        <v>1132178</v>
      </c>
      <c r="J149" s="23">
        <f>'1 lentelė'!$R151</f>
        <v>0</v>
      </c>
      <c r="K149" s="23">
        <f>'1 lentelė'!$S151</f>
        <v>213824.89999999991</v>
      </c>
      <c r="L149" s="23">
        <v>1346002.9</v>
      </c>
      <c r="M149" s="23">
        <v>1132178</v>
      </c>
      <c r="N149" s="23">
        <v>0</v>
      </c>
      <c r="O149" s="23">
        <v>213824.9</v>
      </c>
      <c r="P149" s="23">
        <v>659522.85</v>
      </c>
      <c r="Q149" s="23">
        <v>586523.43000000005</v>
      </c>
      <c r="R149" s="23">
        <v>0</v>
      </c>
      <c r="S149" s="23">
        <f>P149-Q149</f>
        <v>72999.419999999925</v>
      </c>
      <c r="T149" s="23"/>
      <c r="V149" s="38">
        <f>L149-M149-N149-O149</f>
        <v>0</v>
      </c>
    </row>
    <row r="150" spans="2:26" s="6" customFormat="1" ht="68.25" customHeight="1" x14ac:dyDescent="0.25">
      <c r="B150" s="46" t="str">
        <f>'1 lentelė'!$B152</f>
        <v xml:space="preserve">3.2 </v>
      </c>
      <c r="C150" s="46"/>
      <c r="D150" s="46" t="str">
        <f>'1 lentelė'!$D152</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25">
      <c r="B151" s="42" t="str">
        <f>'1 lentelė'!$B153</f>
        <v>3.2.1</v>
      </c>
      <c r="C151" s="42"/>
      <c r="D151" s="42" t="str">
        <f>'1 lentelė'!$D153</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25">
      <c r="B152" s="44" t="str">
        <f>'1 lentelė'!$B154</f>
        <v>3.2.1.1</v>
      </c>
      <c r="C152" s="232" t="s">
        <v>498</v>
      </c>
      <c r="D152" s="76" t="str">
        <f>'1 lentelė'!$D154</f>
        <v>Priemonė: Pirminės asmens ir visuomenės sveikatos priežiūros veiklos efektyvumo didinimas</v>
      </c>
      <c r="E152" s="44"/>
      <c r="F152" s="44"/>
      <c r="G152" s="44"/>
      <c r="H152" s="263">
        <f>SUM(H153:H161)</f>
        <v>1281665.81</v>
      </c>
      <c r="I152" s="263">
        <f t="shared" ref="I152:S152" si="44">SUM(I153:I161)</f>
        <v>1088528.92</v>
      </c>
      <c r="J152" s="263">
        <f t="shared" si="44"/>
        <v>92991.19</v>
      </c>
      <c r="K152" s="263">
        <f t="shared" si="44"/>
        <v>100145.70000000003</v>
      </c>
      <c r="L152" s="263">
        <f t="shared" si="44"/>
        <v>1263007.22</v>
      </c>
      <c r="M152" s="263">
        <f t="shared" si="44"/>
        <v>1072663.8599999999</v>
      </c>
      <c r="N152" s="263">
        <f t="shared" si="44"/>
        <v>91576.639999999999</v>
      </c>
      <c r="O152" s="263">
        <f t="shared" si="44"/>
        <v>98766.720000000001</v>
      </c>
      <c r="P152" s="263">
        <f t="shared" si="44"/>
        <v>887296.52999999991</v>
      </c>
      <c r="Q152" s="263">
        <f t="shared" si="44"/>
        <v>754693.41999999993</v>
      </c>
      <c r="R152" s="263">
        <f t="shared" si="44"/>
        <v>63535.14</v>
      </c>
      <c r="S152" s="263">
        <f t="shared" si="44"/>
        <v>69067.97000000003</v>
      </c>
      <c r="T152" s="263"/>
    </row>
    <row r="153" spans="2:26" s="27" customFormat="1" ht="148.5" customHeight="1" x14ac:dyDescent="0.25">
      <c r="B153" s="12" t="str">
        <f>'1 lentelė'!$B155</f>
        <v>3.2.1.1.1</v>
      </c>
      <c r="C153" s="12" t="str">
        <f>'1 lentelė'!$C155</f>
        <v>R096609-270000-3236</v>
      </c>
      <c r="D153" s="12" t="str">
        <f>'1 lentelė'!$D155</f>
        <v>Anykščių rajono savivaldybės gyventojų sveikatos stiprinimas gerinant pirminės sveikatos priežiūros paslaugų prieinamumą ir kokybę</v>
      </c>
      <c r="E153" s="12" t="str">
        <f>'1 lentelė'!$E155</f>
        <v>VšĮ Anykščių rajono savivaldybės pirminės sveikatos priežiūros centras</v>
      </c>
      <c r="F153" s="33" t="s">
        <v>66</v>
      </c>
      <c r="G153" s="33" t="s">
        <v>1079</v>
      </c>
      <c r="H153" s="26">
        <f>'1 lentelė'!$P155</f>
        <v>244033.66</v>
      </c>
      <c r="I153" s="26">
        <f>'1 lentelė'!$Q155</f>
        <v>207428.61</v>
      </c>
      <c r="J153" s="26">
        <f>'1 lentelė'!$R155</f>
        <v>18302.52</v>
      </c>
      <c r="K153" s="26">
        <f>'1 lentelė'!$S155</f>
        <v>18302.530000000017</v>
      </c>
      <c r="L153" s="26">
        <v>244033.66</v>
      </c>
      <c r="M153" s="26">
        <v>207428.61</v>
      </c>
      <c r="N153" s="26">
        <v>18302.52</v>
      </c>
      <c r="O153" s="26">
        <f>L153-M153-N153</f>
        <v>18302.530000000017</v>
      </c>
      <c r="P153" s="340">
        <v>242362.82</v>
      </c>
      <c r="Q153" s="26">
        <v>206008.4</v>
      </c>
      <c r="R153" s="26">
        <v>18177.21</v>
      </c>
      <c r="S153" s="340">
        <f>P153-Q153-R153</f>
        <v>18177.210000000014</v>
      </c>
      <c r="T153" s="65"/>
      <c r="V153" s="40">
        <f>L153-M153-N153-O153</f>
        <v>0</v>
      </c>
      <c r="W153" s="40">
        <v>0</v>
      </c>
      <c r="X153" s="40" t="s">
        <v>882</v>
      </c>
      <c r="Y153" s="40">
        <v>0</v>
      </c>
      <c r="Z153" s="40" t="s">
        <v>879</v>
      </c>
    </row>
    <row r="154" spans="2:26" s="27" customFormat="1" ht="81.75" customHeight="1" x14ac:dyDescent="0.25">
      <c r="B154" s="12" t="str">
        <f>'1 lentelė'!$B156</f>
        <v>3.2.1.1.2</v>
      </c>
      <c r="C154" s="12" t="str">
        <f>'1 lentelė'!$C156</f>
        <v>R096609-270000-3237</v>
      </c>
      <c r="D154" s="12" t="str">
        <f>'1 lentelė'!$D156</f>
        <v>Pirminės sveikatos paslaugų gerinimas VšĮ Ignalinos rajono poliklinikoje</v>
      </c>
      <c r="E154" s="12" t="str">
        <f>'1 lentelė'!$E156</f>
        <v>VšĮ Ignalinos rajono poliklinika</v>
      </c>
      <c r="F154" s="33" t="s">
        <v>66</v>
      </c>
      <c r="G154" s="33" t="s">
        <v>872</v>
      </c>
      <c r="H154" s="26">
        <f>I154+J154+K154</f>
        <v>106554.33</v>
      </c>
      <c r="I154" s="26">
        <f>'1 lentelė'!$Q156</f>
        <v>90571.18</v>
      </c>
      <c r="J154" s="26">
        <f>'1 lentelė'!$R156</f>
        <v>7409.66</v>
      </c>
      <c r="K154" s="26">
        <f>'1 lentelė'!$S156</f>
        <v>8573.4900000000089</v>
      </c>
      <c r="L154" s="26">
        <v>106554.32999999999</v>
      </c>
      <c r="M154" s="26">
        <v>90571.18</v>
      </c>
      <c r="N154" s="26">
        <v>7409.66</v>
      </c>
      <c r="O154" s="26">
        <f>L154-M154-N154</f>
        <v>8573.4899999999943</v>
      </c>
      <c r="P154" s="341">
        <v>106554.33</v>
      </c>
      <c r="Q154" s="341">
        <v>90571.18</v>
      </c>
      <c r="R154" s="326">
        <v>7409.66</v>
      </c>
      <c r="S154" s="341">
        <f>P154-Q154-R154</f>
        <v>8573.4900000000089</v>
      </c>
      <c r="T154" s="342" t="s">
        <v>1511</v>
      </c>
      <c r="V154" s="40">
        <f t="shared" ref="V154:V160" si="45">L154-M154-N154-O154</f>
        <v>0</v>
      </c>
      <c r="W154" s="40">
        <v>8573.49</v>
      </c>
      <c r="X154" s="40"/>
      <c r="Y154" s="40">
        <v>0</v>
      </c>
      <c r="Z154" s="40"/>
    </row>
    <row r="155" spans="2:26" s="27" customFormat="1" ht="111.75" customHeight="1" x14ac:dyDescent="0.25">
      <c r="B155" s="12" t="str">
        <f>'1 lentelė'!$B157</f>
        <v>3.2.1.1.3</v>
      </c>
      <c r="C155" s="12" t="str">
        <f>'1 lentelė'!$C157</f>
        <v>R096609-270000-3238</v>
      </c>
      <c r="D155" s="12" t="str">
        <f>'1 lentelė'!$D157</f>
        <v>UAB „Ignalinos sveikatos centras“ pirminės asmens sveikatos priežiūros paslaugų teikimo efektyvumo didinimas</v>
      </c>
      <c r="E155" s="12" t="str">
        <f>'1 lentelė'!$E157</f>
        <v>UAB Ignalinos sveikatos centras</v>
      </c>
      <c r="F155" s="33" t="s">
        <v>66</v>
      </c>
      <c r="G155" s="33" t="s">
        <v>872</v>
      </c>
      <c r="H155" s="26">
        <f>'1 lentelė'!P157</f>
        <v>86991.45</v>
      </c>
      <c r="I155" s="26">
        <f>'1 lentelė'!$Q157</f>
        <v>73942.73</v>
      </c>
      <c r="J155" s="26">
        <f>'1 lentelė'!$R157</f>
        <v>6524.36</v>
      </c>
      <c r="K155" s="26">
        <f>'1 lentelė'!$S157</f>
        <v>6524.3600000000015</v>
      </c>
      <c r="L155" s="26">
        <v>86991.46</v>
      </c>
      <c r="M155" s="26">
        <v>73942.740000000005</v>
      </c>
      <c r="N155" s="26">
        <v>6524.36</v>
      </c>
      <c r="O155" s="26">
        <f>Y155</f>
        <v>6524.36</v>
      </c>
      <c r="P155" s="270">
        <v>86991.45</v>
      </c>
      <c r="Q155" s="26">
        <v>73942.73</v>
      </c>
      <c r="R155" s="26">
        <v>6524.36</v>
      </c>
      <c r="S155" s="270">
        <f>P155-Q155-R155</f>
        <v>6524.3600000000015</v>
      </c>
      <c r="T155" s="26" t="s">
        <v>1217</v>
      </c>
      <c r="V155" s="40">
        <f t="shared" si="45"/>
        <v>0</v>
      </c>
      <c r="W155" s="40">
        <v>0</v>
      </c>
      <c r="X155" s="40"/>
      <c r="Y155" s="40">
        <v>6524.36</v>
      </c>
      <c r="Z155" s="40"/>
    </row>
    <row r="156" spans="2:26" s="27" customFormat="1" ht="122.25" customHeight="1" x14ac:dyDescent="0.25">
      <c r="B156" s="12" t="str">
        <f>'1 lentelė'!$B158</f>
        <v>3.2.1.1.4</v>
      </c>
      <c r="C156" s="12" t="str">
        <f>'1 lentelė'!$C158</f>
        <v>R096609-270000-3239</v>
      </c>
      <c r="D156" s="12" t="str">
        <f>'1 lentelė'!$D158</f>
        <v>Molėtų r. pirminės sveikatos priežiūros centro veiklos efektyvumo didinimas</v>
      </c>
      <c r="E156" s="12" t="str">
        <f>'1 lentelė'!$E158</f>
        <v>Pareiškėjas Molėtų rajono savivaldybės administracija, partneris VšĮ Molėtų rajono pirminės sveikatos priežiūros centras</v>
      </c>
      <c r="F156" s="33" t="s">
        <v>66</v>
      </c>
      <c r="G156" s="33" t="s">
        <v>1079</v>
      </c>
      <c r="H156" s="26">
        <f>'1 lentelė'!$P158</f>
        <v>180196.81</v>
      </c>
      <c r="I156" s="26">
        <f>'1 lentelė'!$Q158</f>
        <v>153167.29</v>
      </c>
      <c r="J156" s="26">
        <f>'1 lentelė'!$R158</f>
        <v>13514.75</v>
      </c>
      <c r="K156" s="26">
        <f>'1 lentelė'!$S158</f>
        <v>13514.76999999999</v>
      </c>
      <c r="L156" s="26">
        <v>180196.81</v>
      </c>
      <c r="M156" s="26">
        <v>153167.29</v>
      </c>
      <c r="N156" s="26">
        <v>13514.75</v>
      </c>
      <c r="O156" s="26">
        <v>13514.77</v>
      </c>
      <c r="P156" s="26">
        <v>130912.09</v>
      </c>
      <c r="Q156" s="26">
        <v>112653.65</v>
      </c>
      <c r="R156" s="26">
        <v>9940.0300000000007</v>
      </c>
      <c r="S156" s="26">
        <f>P156-Q156-R156</f>
        <v>8318.4100000000017</v>
      </c>
      <c r="T156" s="65"/>
      <c r="V156" s="40">
        <f t="shared" si="45"/>
        <v>0</v>
      </c>
      <c r="W156" s="40">
        <v>0</v>
      </c>
      <c r="X156" s="40"/>
      <c r="Y156" s="40">
        <v>0</v>
      </c>
      <c r="Z156" s="40"/>
    </row>
    <row r="157" spans="2:26" s="27" customFormat="1" ht="89.25" customHeight="1" x14ac:dyDescent="0.25">
      <c r="B157" s="12" t="str">
        <f>'1 lentelė'!$B159</f>
        <v>3.2.1.1.5</v>
      </c>
      <c r="C157" s="12" t="str">
        <f>'1 lentelė'!$C159</f>
        <v>R096609-270000-3240</v>
      </c>
      <c r="D157" s="12" t="str">
        <f>'1 lentelė'!$D159</f>
        <v>Pirminės asmens sveikatos priežiūros veiklos efektyvumo didinimas Utenos rajone</v>
      </c>
      <c r="E157" s="12" t="str">
        <f>'1 lentelė'!$E159</f>
        <v>VšĮ Utenos pirminės sveikatos priežiūros centras</v>
      </c>
      <c r="F157" s="33" t="s">
        <v>66</v>
      </c>
      <c r="G157" s="33" t="s">
        <v>1079</v>
      </c>
      <c r="H157" s="26">
        <f>'1 lentelė'!$P159</f>
        <v>294117.65000000002</v>
      </c>
      <c r="I157" s="26">
        <f>'1 lentelė'!$Q159</f>
        <v>250000</v>
      </c>
      <c r="J157" s="26">
        <f>'1 lentelė'!$R159</f>
        <v>22058.82</v>
      </c>
      <c r="K157" s="26">
        <f>'1 lentelė'!$S159</f>
        <v>22058.830000000024</v>
      </c>
      <c r="L157" s="26">
        <v>294117.65000000002</v>
      </c>
      <c r="M157" s="26">
        <v>250000</v>
      </c>
      <c r="N157" s="26">
        <v>22058.82</v>
      </c>
      <c r="O157" s="26">
        <v>22058.83</v>
      </c>
      <c r="P157" s="26">
        <v>54435.71</v>
      </c>
      <c r="Q157" s="26">
        <v>46270.35</v>
      </c>
      <c r="R157" s="26">
        <v>4082.68</v>
      </c>
      <c r="S157" s="26">
        <f>P157-Q157-R157</f>
        <v>4082.6800000000007</v>
      </c>
      <c r="T157" s="65"/>
      <c r="V157" s="40">
        <f t="shared" si="45"/>
        <v>0</v>
      </c>
      <c r="W157" s="40">
        <v>0</v>
      </c>
      <c r="X157" s="40"/>
      <c r="Y157" s="40">
        <v>0</v>
      </c>
      <c r="Z157" s="40"/>
    </row>
    <row r="158" spans="2:26" s="27" customFormat="1" ht="63" customHeight="1" x14ac:dyDescent="0.25">
      <c r="B158" s="12" t="str">
        <f>'1 lentelė'!$B160</f>
        <v>3.2.1.1.6</v>
      </c>
      <c r="C158" s="12" t="str">
        <f>'1 lentelė'!$C160</f>
        <v>R096609-270000-3241</v>
      </c>
      <c r="D158" s="12" t="str">
        <f>'1 lentelė'!$D160</f>
        <v>UAB "Dilina" teikiamų paslaugų efektyvumo didinimas</v>
      </c>
      <c r="E158" s="12" t="str">
        <f>'1 lentelė'!$E160</f>
        <v>UAB "Dilina"</v>
      </c>
      <c r="F158" s="33" t="s">
        <v>66</v>
      </c>
      <c r="G158" s="33" t="s">
        <v>872</v>
      </c>
      <c r="H158" s="26">
        <f>'1 lentelė'!$P160</f>
        <v>34024.199999999997</v>
      </c>
      <c r="I158" s="26">
        <f>'1 lentelė'!$Q160</f>
        <v>28033.57</v>
      </c>
      <c r="J158" s="26">
        <f>'1 lentelė'!$R160</f>
        <v>0</v>
      </c>
      <c r="K158" s="26">
        <f>'1 lentelė'!$S160</f>
        <v>5990.6299999999974</v>
      </c>
      <c r="L158" s="26">
        <v>34226.199999999997</v>
      </c>
      <c r="M158" s="26">
        <v>28200</v>
      </c>
      <c r="N158" s="26">
        <v>0</v>
      </c>
      <c r="O158" s="26">
        <f>Y158</f>
        <v>6026.2</v>
      </c>
      <c r="P158" s="26">
        <f>Q158+R158+S158</f>
        <v>34024.199999999997</v>
      </c>
      <c r="Q158" s="26">
        <v>28033.57</v>
      </c>
      <c r="R158" s="26">
        <v>0</v>
      </c>
      <c r="S158" s="26">
        <v>5990.63</v>
      </c>
      <c r="T158" s="26" t="s">
        <v>1175</v>
      </c>
      <c r="V158" s="40">
        <f t="shared" si="45"/>
        <v>0</v>
      </c>
      <c r="W158" s="40">
        <v>0</v>
      </c>
      <c r="X158" s="40"/>
      <c r="Y158" s="40">
        <v>6026.2</v>
      </c>
      <c r="Z158" s="40"/>
    </row>
    <row r="159" spans="2:26" s="27" customFormat="1" ht="114" customHeight="1" x14ac:dyDescent="0.25">
      <c r="B159" s="12" t="str">
        <f>'1 lentelė'!$B161</f>
        <v>3.2.1.1.7</v>
      </c>
      <c r="C159" s="12" t="str">
        <f>'1 lentelė'!$C161</f>
        <v>R096609-270000-3242</v>
      </c>
      <c r="D159" s="12" t="str">
        <f>'1 lentelė'!$D161</f>
        <v>Pirminės asmens sveikatos priežiūros paslaugų kokybės ir prieinamumo gerinimas Zarasų rajono savivaldybėje</v>
      </c>
      <c r="E159" s="12" t="str">
        <f>'1 lentelė'!$E161</f>
        <v>Zarasų rajono savivaldybės VšĮ Zarasų pirminės sveikatos priežiūros centras</v>
      </c>
      <c r="F159" s="33" t="s">
        <v>66</v>
      </c>
      <c r="G159" s="33" t="s">
        <v>1079</v>
      </c>
      <c r="H159" s="26">
        <f>'1 lentelė'!$P161</f>
        <v>153580</v>
      </c>
      <c r="I159" s="26">
        <f>'1 lentelė'!$Q161</f>
        <v>130543</v>
      </c>
      <c r="J159" s="26">
        <f>'1 lentelė'!$R161</f>
        <v>11518.5</v>
      </c>
      <c r="K159" s="26">
        <f>'1 lentelė'!$S161</f>
        <v>11518.5</v>
      </c>
      <c r="L159" s="26">
        <v>153580</v>
      </c>
      <c r="M159" s="26">
        <v>130543</v>
      </c>
      <c r="N159" s="26">
        <v>11518.5</v>
      </c>
      <c r="O159" s="26">
        <f>W159</f>
        <v>11518.5</v>
      </c>
      <c r="P159" s="26">
        <v>117125.58</v>
      </c>
      <c r="Q159" s="26">
        <v>99556.74</v>
      </c>
      <c r="R159" s="26">
        <v>8784.42</v>
      </c>
      <c r="S159" s="26">
        <f>P159-Q159-R159</f>
        <v>8784.4199999999964</v>
      </c>
      <c r="T159" s="26"/>
      <c r="V159" s="40">
        <f t="shared" si="45"/>
        <v>0</v>
      </c>
      <c r="W159" s="40">
        <v>11518.5</v>
      </c>
      <c r="X159" s="40"/>
      <c r="Y159" s="40">
        <v>0</v>
      </c>
      <c r="Z159" s="40"/>
    </row>
    <row r="160" spans="2:26" s="27" customFormat="1" ht="125.25" customHeight="1" x14ac:dyDescent="0.25">
      <c r="B160" s="12" t="str">
        <f>'1 lentelė'!$B162</f>
        <v>3.2.1.1.8</v>
      </c>
      <c r="C160" s="12" t="str">
        <f>'1 lentelė'!$C162</f>
        <v>R096609-270000-3243</v>
      </c>
      <c r="D160" s="12" t="str">
        <f>'1 lentelė'!$D162</f>
        <v>Pirminės asmens sveikatos priežiūros veiklos efektyvumo didinimas VšĮ Visagino  pirminės sveikatos priežiūros centre</v>
      </c>
      <c r="E160" s="12" t="str">
        <f>'1 lentelė'!$E162</f>
        <v>VšĮ Visagino pirminės sveikatos priežiūros centras</v>
      </c>
      <c r="F160" s="33" t="s">
        <v>66</v>
      </c>
      <c r="G160" s="33" t="s">
        <v>1079</v>
      </c>
      <c r="H160" s="26">
        <f>'1 lentelė'!$P162</f>
        <v>163307.10999999999</v>
      </c>
      <c r="I160" s="26">
        <f>'1 lentelė'!$Q162</f>
        <v>138811.04</v>
      </c>
      <c r="J160" s="26">
        <f>'1 lentelė'!$R162</f>
        <v>12248.03</v>
      </c>
      <c r="K160" s="26">
        <f>'1 lentelė'!$S162</f>
        <v>12248.039999999977</v>
      </c>
      <c r="L160" s="26">
        <v>163307.11000000002</v>
      </c>
      <c r="M160" s="26">
        <v>138811.04</v>
      </c>
      <c r="N160" s="26">
        <v>12248.03</v>
      </c>
      <c r="O160" s="26">
        <f>W160</f>
        <v>12248.04</v>
      </c>
      <c r="P160" s="26">
        <v>114890.35</v>
      </c>
      <c r="Q160" s="26">
        <v>97656.8</v>
      </c>
      <c r="R160" s="26">
        <v>8616.7800000000007</v>
      </c>
      <c r="S160" s="26">
        <f>P160-Q160-R160</f>
        <v>8616.7700000000023</v>
      </c>
      <c r="T160" s="26"/>
      <c r="V160" s="40">
        <f t="shared" si="45"/>
        <v>0</v>
      </c>
      <c r="W160" s="40">
        <v>12248.04</v>
      </c>
      <c r="X160" s="40"/>
      <c r="Y160" s="40">
        <v>0</v>
      </c>
      <c r="Z160" s="40"/>
    </row>
    <row r="161" spans="2:26" s="27" customFormat="1" ht="90" customHeight="1" x14ac:dyDescent="0.25">
      <c r="B161" s="12" t="str">
        <f>'1 lentelė'!$B163</f>
        <v>3.2.1.1.9</v>
      </c>
      <c r="C161" s="12" t="str">
        <f>'1 lentelė'!$C163</f>
        <v>R096609-270000-3244</v>
      </c>
      <c r="D161" s="12" t="str">
        <f>'1 lentelė'!$D163</f>
        <v>Asmens sveikatos priežiūros  kokybės gerinimas Utenos rajono gyventojams</v>
      </c>
      <c r="E161" s="12" t="str">
        <f>'1 lentelė'!$E163</f>
        <v>UAB šeimos klinika "Hiperika"</v>
      </c>
      <c r="F161" s="33" t="s">
        <v>66</v>
      </c>
      <c r="G161" s="33"/>
      <c r="H161" s="26">
        <f>'1 lentelė'!$P163</f>
        <v>18860.599999999999</v>
      </c>
      <c r="I161" s="26">
        <f>'1 lentelė'!$Q163</f>
        <v>16031.5</v>
      </c>
      <c r="J161" s="26">
        <f>'1 lentelė'!$R163</f>
        <v>1414.55</v>
      </c>
      <c r="K161" s="26">
        <f>'1 lentelė'!$S163</f>
        <v>1414.5499999999986</v>
      </c>
      <c r="L161" s="26">
        <v>0</v>
      </c>
      <c r="M161" s="26">
        <v>0</v>
      </c>
      <c r="N161" s="26">
        <v>0</v>
      </c>
      <c r="O161" s="26">
        <v>0</v>
      </c>
      <c r="P161" s="283">
        <v>0</v>
      </c>
      <c r="Q161" s="26">
        <v>0</v>
      </c>
      <c r="R161" s="26">
        <v>0</v>
      </c>
      <c r="S161" s="283">
        <f>P161-Q161-R161</f>
        <v>0</v>
      </c>
      <c r="T161" s="26"/>
      <c r="V161" s="40"/>
      <c r="W161" s="40"/>
      <c r="X161" s="40"/>
      <c r="Y161" s="40"/>
      <c r="Z161" s="40"/>
    </row>
    <row r="162" spans="2:26" s="27" customFormat="1" ht="161.25" customHeight="1" x14ac:dyDescent="0.25">
      <c r="B162" s="44" t="str">
        <f>'1 lentelė'!$B164</f>
        <v>3.2.1.2</v>
      </c>
      <c r="C162" s="232" t="s">
        <v>534</v>
      </c>
      <c r="D162" s="76" t="str">
        <f>'1 lentelė'!$D164</f>
        <v>Priemonė: Priemonių, gerinančių ambulatorinių sveikatos priežiūros paslaugų prieinamumą tuberkulioze sergantiems asmenims, įgyvendinimas</v>
      </c>
      <c r="E162" s="44"/>
      <c r="F162" s="44"/>
      <c r="G162" s="44"/>
      <c r="H162" s="263">
        <f>SUM(H163:H168)</f>
        <v>41354.43</v>
      </c>
      <c r="I162" s="263">
        <f t="shared" ref="I162:S162" si="46">SUM(I163:I168)</f>
        <v>35150.640000000007</v>
      </c>
      <c r="J162" s="263">
        <f t="shared" si="46"/>
        <v>3100.69</v>
      </c>
      <c r="K162" s="263">
        <f t="shared" si="46"/>
        <v>3103.1</v>
      </c>
      <c r="L162" s="263">
        <f t="shared" si="46"/>
        <v>41354.43</v>
      </c>
      <c r="M162" s="263">
        <f t="shared" si="46"/>
        <v>35150.639999999999</v>
      </c>
      <c r="N162" s="263">
        <f t="shared" si="46"/>
        <v>3100.69</v>
      </c>
      <c r="O162" s="263">
        <f t="shared" si="46"/>
        <v>3103.1000000000004</v>
      </c>
      <c r="P162" s="263">
        <f t="shared" si="46"/>
        <v>9765.58</v>
      </c>
      <c r="Q162" s="263">
        <f t="shared" si="46"/>
        <v>8552.74</v>
      </c>
      <c r="R162" s="263">
        <f t="shared" si="46"/>
        <v>754.46</v>
      </c>
      <c r="S162" s="263">
        <f t="shared" si="46"/>
        <v>458.38000000000022</v>
      </c>
      <c r="T162" s="29"/>
    </row>
    <row r="163" spans="2:26" s="27" customFormat="1" ht="63.75" customHeight="1" x14ac:dyDescent="0.25">
      <c r="B163" s="12" t="str">
        <f>'1 lentelė'!$B165</f>
        <v>3.2.1.2.1</v>
      </c>
      <c r="C163" s="12" t="str">
        <f>'1 lentelė'!$C165</f>
        <v>R096615-470000-3201</v>
      </c>
      <c r="D163" s="12" t="str">
        <f>'1 lentelė'!$D165</f>
        <v>Tuberkuliozės gydymo skatinimas Anykščių rajono
savivaldybėje</v>
      </c>
      <c r="E163" s="12" t="str">
        <f>'1 lentelė'!$E165</f>
        <v>Anykščių rajono savivaldybės administracija</v>
      </c>
      <c r="F163" s="33" t="s">
        <v>66</v>
      </c>
      <c r="G163" s="33" t="s">
        <v>1079</v>
      </c>
      <c r="H163" s="26">
        <f>'1 lentelė'!$P165</f>
        <v>13180</v>
      </c>
      <c r="I163" s="26">
        <f>'1 lentelė'!$Q165</f>
        <v>11202</v>
      </c>
      <c r="J163" s="26">
        <f>'1 lentelė'!$R165</f>
        <v>988</v>
      </c>
      <c r="K163" s="26">
        <f>'1 lentelė'!$S165</f>
        <v>990</v>
      </c>
      <c r="L163" s="26">
        <v>13180</v>
      </c>
      <c r="M163" s="26">
        <v>11202</v>
      </c>
      <c r="N163" s="26">
        <v>988</v>
      </c>
      <c r="O163" s="26">
        <v>990</v>
      </c>
      <c r="P163" s="26">
        <v>5793.33</v>
      </c>
      <c r="Q163" s="25">
        <v>5176.32</v>
      </c>
      <c r="R163" s="26">
        <v>456.55</v>
      </c>
      <c r="S163" s="26">
        <f t="shared" ref="S163:S168" si="47">P163-Q163-R163</f>
        <v>160.46000000000021</v>
      </c>
      <c r="T163" s="26"/>
      <c r="V163" s="40">
        <f>L163-M163-N163-O163</f>
        <v>0</v>
      </c>
      <c r="W163" s="40"/>
      <c r="X163" s="40"/>
      <c r="Y163" s="40"/>
    </row>
    <row r="164" spans="2:26" s="27" customFormat="1" ht="66" customHeight="1" x14ac:dyDescent="0.25">
      <c r="B164" s="12" t="str">
        <f>'1 lentelė'!$B166</f>
        <v>3.2.1.2.2</v>
      </c>
      <c r="C164" s="12" t="str">
        <f>'1 lentelė'!$C166</f>
        <v>R096615-470000-3202</v>
      </c>
      <c r="D164" s="12" t="str">
        <f>'1 lentelė'!$D166</f>
        <v>Sergamumo ir mirtingumo mažinimas nuo tuberkuliozės Ignalinos rajone</v>
      </c>
      <c r="E164" s="12" t="str">
        <f>'1 lentelė'!$E166</f>
        <v>Ignalinos rajono poliklinika</v>
      </c>
      <c r="F164" s="33" t="s">
        <v>66</v>
      </c>
      <c r="G164" s="33" t="s">
        <v>1079</v>
      </c>
      <c r="H164" s="26">
        <f>'1 lentelė'!$P166</f>
        <v>6134.9299999999994</v>
      </c>
      <c r="I164" s="26">
        <f>'1 lentelė'!$Q166</f>
        <v>5214.6900000000005</v>
      </c>
      <c r="J164" s="26">
        <f>'1 lentelė'!$R166</f>
        <v>460.12</v>
      </c>
      <c r="K164" s="26">
        <f>'1 lentelė'!$S166</f>
        <v>460.11999999999887</v>
      </c>
      <c r="L164" s="26">
        <v>6134.9299999999994</v>
      </c>
      <c r="M164" s="26">
        <v>5214.6899999999996</v>
      </c>
      <c r="N164" s="26">
        <v>460.12</v>
      </c>
      <c r="O164" s="26">
        <v>460.12</v>
      </c>
      <c r="P164" s="26">
        <v>1278.48</v>
      </c>
      <c r="Q164" s="26">
        <v>1086.71</v>
      </c>
      <c r="R164" s="26">
        <v>95.89</v>
      </c>
      <c r="S164" s="26">
        <f t="shared" si="47"/>
        <v>95.879999999999981</v>
      </c>
      <c r="T164" s="26"/>
      <c r="V164" s="40">
        <f t="shared" ref="V164:V168" si="48">L164-M164-N164-O164</f>
        <v>0</v>
      </c>
      <c r="W164" s="40"/>
      <c r="X164" s="40"/>
      <c r="Y164" s="40"/>
    </row>
    <row r="165" spans="2:26" s="27" customFormat="1" ht="99.75" customHeight="1" x14ac:dyDescent="0.25">
      <c r="B165" s="12" t="str">
        <f>'1 lentelė'!$B167</f>
        <v>3.2.1.2.3</v>
      </c>
      <c r="C165" s="12" t="str">
        <f>'1 lentelė'!$C167</f>
        <v>R096615-470000-3203</v>
      </c>
      <c r="D165" s="12" t="str">
        <f>'1 lentelė'!$D167</f>
        <v>Paslaugų prieinamumo priemonių tuberkulioze sergantiems asmenims įgyvendinimas  Molėtų rajone</v>
      </c>
      <c r="E165" s="12" t="str">
        <f>'1 lentelė'!$E167</f>
        <v>Viešoji įstaiga Molėtų r. pirminės sveikatos priežiūros centras</v>
      </c>
      <c r="F165" s="33" t="s">
        <v>66</v>
      </c>
      <c r="G165" s="33" t="s">
        <v>1079</v>
      </c>
      <c r="H165" s="26">
        <f>'1 lentelė'!$P167</f>
        <v>7725.47</v>
      </c>
      <c r="I165" s="26">
        <f>'1 lentelė'!$Q167</f>
        <v>6566.65</v>
      </c>
      <c r="J165" s="26">
        <f>'1 lentelė'!$R167</f>
        <v>579.4</v>
      </c>
      <c r="K165" s="26">
        <f>'1 lentelė'!$S167</f>
        <v>579.42000000000064</v>
      </c>
      <c r="L165" s="26">
        <v>7725.47</v>
      </c>
      <c r="M165" s="26">
        <v>6566.65</v>
      </c>
      <c r="N165" s="47">
        <v>579.4</v>
      </c>
      <c r="O165" s="26">
        <f>X165</f>
        <v>579.42000000000064</v>
      </c>
      <c r="P165" s="26">
        <v>1694.77</v>
      </c>
      <c r="Q165" s="26">
        <v>1440.55</v>
      </c>
      <c r="R165" s="26">
        <v>127.11</v>
      </c>
      <c r="S165" s="26">
        <f t="shared" si="47"/>
        <v>127.11000000000003</v>
      </c>
      <c r="T165" s="26"/>
      <c r="V165" s="41">
        <f>L165-M165-N165-O165</f>
        <v>0</v>
      </c>
      <c r="W165" s="40"/>
      <c r="X165" s="40">
        <v>579.42000000000064</v>
      </c>
      <c r="Y165" s="40" t="s">
        <v>882</v>
      </c>
    </row>
    <row r="166" spans="2:26" s="27" customFormat="1" ht="147.75" customHeight="1" x14ac:dyDescent="0.25">
      <c r="B166" s="12" t="str">
        <f>'1 lentelė'!$B168</f>
        <v>3.2.1.2.4</v>
      </c>
      <c r="C166" s="12" t="str">
        <f>'1 lentelė'!$C168</f>
        <v>R096615-470000-3204</v>
      </c>
      <c r="D166" s="12" t="str">
        <f>'1 lentelė'!$D168</f>
        <v>Priemonių, gerinančių ambulatorinių sveikatos priežiūros paslaugų prieinamumą tuberkulioze sergantiems asmenims, įgyvendinimas Utenos rajone</v>
      </c>
      <c r="E166" s="12" t="str">
        <f>'1 lentelė'!$E168</f>
        <v>VšĮ Utenos pirminės sveikatos priežiūros centras</v>
      </c>
      <c r="F166" s="33" t="s">
        <v>66</v>
      </c>
      <c r="G166" s="33" t="s">
        <v>1079</v>
      </c>
      <c r="H166" s="26">
        <f>'1 lentelė'!$P168</f>
        <v>5453.27</v>
      </c>
      <c r="I166" s="26">
        <f>'1 lentelė'!$Q168</f>
        <v>4635.28</v>
      </c>
      <c r="J166" s="26">
        <f>'1 lentelė'!$R168</f>
        <v>408.99</v>
      </c>
      <c r="K166" s="26">
        <f>'1 lentelė'!$S168</f>
        <v>409.00000000000068</v>
      </c>
      <c r="L166" s="26">
        <v>5453.2699999999995</v>
      </c>
      <c r="M166" s="26">
        <v>4635.28</v>
      </c>
      <c r="N166" s="26">
        <v>408.99</v>
      </c>
      <c r="O166" s="26">
        <v>409</v>
      </c>
      <c r="P166" s="26">
        <v>567</v>
      </c>
      <c r="Q166" s="26">
        <v>481.95</v>
      </c>
      <c r="R166" s="26">
        <v>42.52</v>
      </c>
      <c r="S166" s="26">
        <f t="shared" si="47"/>
        <v>42.530000000000008</v>
      </c>
      <c r="T166" s="65"/>
      <c r="V166" s="40">
        <f t="shared" si="48"/>
        <v>0</v>
      </c>
      <c r="W166" s="40"/>
      <c r="X166" s="40"/>
      <c r="Y166" s="40"/>
    </row>
    <row r="167" spans="2:26" s="6" customFormat="1" ht="77.25" customHeight="1" x14ac:dyDescent="0.25">
      <c r="B167" s="12" t="str">
        <f>'1 lentelė'!$B169</f>
        <v>3.2.1.2.5</v>
      </c>
      <c r="C167" s="12" t="str">
        <f>'1 lentelė'!$C169</f>
        <v>R096615-470000-3205</v>
      </c>
      <c r="D167" s="12" t="str">
        <f>'1 lentelė'!$D169</f>
        <v>Sergamumo ir mirtingumo mažinimas nuo tuberkuliozės Visagino savivaldybėje</v>
      </c>
      <c r="E167" s="12" t="str">
        <f>'1 lentelė'!$E169</f>
        <v>VšĮ Visagino pirminės sveikatos priežiūros centras</v>
      </c>
      <c r="F167" s="33" t="s">
        <v>66</v>
      </c>
      <c r="G167" s="33" t="s">
        <v>1079</v>
      </c>
      <c r="H167" s="23">
        <f>'1 lentelė'!$P169</f>
        <v>2271.7600000000002</v>
      </c>
      <c r="I167" s="23">
        <f>'1 lentelė'!$Q169</f>
        <v>1931.38</v>
      </c>
      <c r="J167" s="23">
        <f>'1 lentelė'!$R169</f>
        <v>170</v>
      </c>
      <c r="K167" s="23">
        <f>'1 lentelė'!$S169</f>
        <v>170.38000000000011</v>
      </c>
      <c r="L167" s="23">
        <v>2271.7600000000002</v>
      </c>
      <c r="M167" s="23">
        <v>1931.38</v>
      </c>
      <c r="N167" s="23">
        <v>170</v>
      </c>
      <c r="O167" s="23">
        <v>170.38</v>
      </c>
      <c r="P167" s="23">
        <v>54</v>
      </c>
      <c r="Q167" s="23">
        <v>45.91</v>
      </c>
      <c r="R167" s="23">
        <v>4.04</v>
      </c>
      <c r="S167" s="23">
        <f t="shared" si="47"/>
        <v>4.0500000000000034</v>
      </c>
      <c r="T167" s="48"/>
      <c r="V167" s="38">
        <f t="shared" si="48"/>
        <v>0</v>
      </c>
      <c r="W167" s="38"/>
      <c r="X167" s="38"/>
      <c r="Y167" s="38"/>
    </row>
    <row r="168" spans="2:26" s="27" customFormat="1" ht="157.5" customHeight="1" x14ac:dyDescent="0.25">
      <c r="B168" s="12" t="str">
        <f>'1 lentelė'!$B170</f>
        <v>3.2.1.2.6</v>
      </c>
      <c r="C168" s="12" t="str">
        <f>'1 lentelė'!$C170</f>
        <v>R096615-470000-3206</v>
      </c>
      <c r="D168" s="12" t="str">
        <f>'1 lentelė'!$D170</f>
        <v>Priemonių, gerinančių ambulatorinių sveikatos priežiūros paslaugų prieinamumą tuberkulioze sergantiems asmenims, įgyvendinimas Zarasų rajono savivaldybėje</v>
      </c>
      <c r="E168" s="12" t="str">
        <f>'1 lentelė'!$E170</f>
        <v>Zarasų rajono savivaldybės viešoji įstaiga Pirminės sveikatos priežiūros centras</v>
      </c>
      <c r="F168" s="33" t="s">
        <v>66</v>
      </c>
      <c r="G168" s="33" t="s">
        <v>1079</v>
      </c>
      <c r="H168" s="26">
        <f>'1 lentelė'!$P170</f>
        <v>6589</v>
      </c>
      <c r="I168" s="26">
        <f>'1 lentelė'!$Q170</f>
        <v>5600.64</v>
      </c>
      <c r="J168" s="26">
        <f>'1 lentelė'!$R170</f>
        <v>494.18</v>
      </c>
      <c r="K168" s="26">
        <f>'1 lentelė'!$S170</f>
        <v>494.17999999999967</v>
      </c>
      <c r="L168" s="26">
        <v>6589</v>
      </c>
      <c r="M168" s="26">
        <v>5600.64</v>
      </c>
      <c r="N168" s="26">
        <v>494.18</v>
      </c>
      <c r="O168" s="26">
        <f>X168</f>
        <v>494.18</v>
      </c>
      <c r="P168" s="26">
        <v>378</v>
      </c>
      <c r="Q168" s="26">
        <v>321.3</v>
      </c>
      <c r="R168" s="26">
        <v>28.35</v>
      </c>
      <c r="S168" s="26">
        <f t="shared" si="47"/>
        <v>28.349999999999987</v>
      </c>
      <c r="T168" s="26"/>
      <c r="V168" s="40">
        <f t="shared" si="48"/>
        <v>0</v>
      </c>
      <c r="W168" s="40"/>
      <c r="X168" s="41">
        <v>494.18</v>
      </c>
      <c r="Y168" s="40" t="s">
        <v>882</v>
      </c>
    </row>
    <row r="169" spans="2:26" s="6" customFormat="1" ht="92.25" customHeight="1" x14ac:dyDescent="0.25">
      <c r="B169" s="42" t="str">
        <f>'1 lentelė'!$B171</f>
        <v>3.2.2</v>
      </c>
      <c r="C169" s="42"/>
      <c r="D169" s="42" t="str">
        <f>'1 lentelė'!$D171</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25">
      <c r="B170" s="44" t="str">
        <f>'1 lentelė'!$B172</f>
        <v>3.2.2.1</v>
      </c>
      <c r="C170" s="232" t="s">
        <v>564</v>
      </c>
      <c r="D170" s="76" t="str">
        <f>'1 lentelė'!$D172</f>
        <v xml:space="preserve">Priemonė: Sveikos gyvensenos skatinimas regioniniu lygiu </v>
      </c>
      <c r="E170" s="44"/>
      <c r="F170" s="44"/>
      <c r="G170" s="44"/>
      <c r="H170" s="263">
        <f>SUM(H171:H177)</f>
        <v>988798.29000000015</v>
      </c>
      <c r="I170" s="263">
        <f t="shared" ref="I170:S170" si="49">SUM(I171:I177)</f>
        <v>840477.93</v>
      </c>
      <c r="J170" s="263">
        <f t="shared" si="49"/>
        <v>74143.92</v>
      </c>
      <c r="K170" s="263">
        <f t="shared" si="49"/>
        <v>74176.440000000031</v>
      </c>
      <c r="L170" s="263">
        <f t="shared" si="49"/>
        <v>994986.6100000001</v>
      </c>
      <c r="M170" s="263">
        <f t="shared" si="49"/>
        <v>845738</v>
      </c>
      <c r="N170" s="263">
        <f t="shared" si="49"/>
        <v>74608.040000000008</v>
      </c>
      <c r="O170" s="263">
        <f t="shared" si="49"/>
        <v>74640.570000000007</v>
      </c>
      <c r="P170" s="263">
        <f t="shared" si="49"/>
        <v>575492.57999999996</v>
      </c>
      <c r="Q170" s="263">
        <f t="shared" si="49"/>
        <v>493093.69999999995</v>
      </c>
      <c r="R170" s="263">
        <f t="shared" si="49"/>
        <v>43497.75</v>
      </c>
      <c r="S170" s="263">
        <f t="shared" si="49"/>
        <v>38901.129999999997</v>
      </c>
      <c r="T170" s="29"/>
    </row>
    <row r="171" spans="2:26" s="27" customFormat="1" ht="74.25" customHeight="1" x14ac:dyDescent="0.25">
      <c r="B171" s="12" t="str">
        <f>'1 lentelė'!$B173</f>
        <v>3.2.2.1.1.</v>
      </c>
      <c r="C171" s="12" t="str">
        <f>'1 lentelė'!$C173</f>
        <v>R096630-470000-3207</v>
      </c>
      <c r="D171" s="12" t="str">
        <f>'1 lentelė'!$D173</f>
        <v>Sveikos gyvensenos skatinimas Anykščių rajono savivaldybėje</v>
      </c>
      <c r="E171" s="12" t="str">
        <f>'1 lentelė'!$E173</f>
        <v>Anykščių rajono savivaldybės visuomenės sveikatos biuras</v>
      </c>
      <c r="F171" s="33" t="s">
        <v>66</v>
      </c>
      <c r="G171" s="33" t="s">
        <v>1079</v>
      </c>
      <c r="H171" s="26">
        <f>'1 lentelė'!$P173</f>
        <v>228408.24</v>
      </c>
      <c r="I171" s="26">
        <f>'1 lentelė'!$Q173</f>
        <v>194147</v>
      </c>
      <c r="J171" s="26">
        <f>'1 lentelė'!$R173</f>
        <v>17120.240000000002</v>
      </c>
      <c r="K171" s="26">
        <f>'1 lentelė'!$S173</f>
        <v>17140.999999999989</v>
      </c>
      <c r="L171" s="26">
        <v>228408.24</v>
      </c>
      <c r="M171" s="26">
        <v>194147</v>
      </c>
      <c r="N171" s="26">
        <v>17120.240000000002</v>
      </c>
      <c r="O171" s="26">
        <v>17141</v>
      </c>
      <c r="P171" s="270">
        <v>166919.25</v>
      </c>
      <c r="Q171" s="25">
        <v>142570.99</v>
      </c>
      <c r="R171" s="26">
        <v>12572.18</v>
      </c>
      <c r="S171" s="340">
        <f t="shared" ref="S171:S176" si="50">P171-Q171-R171</f>
        <v>11776.080000000009</v>
      </c>
      <c r="T171" s="26"/>
      <c r="V171" s="40">
        <f>L171-M171-N171-O171</f>
        <v>0</v>
      </c>
    </row>
    <row r="172" spans="2:26" s="27" customFormat="1" ht="111" customHeight="1" x14ac:dyDescent="0.25">
      <c r="B172" s="12" t="str">
        <f>'1 lentelė'!$B174</f>
        <v>3.2.2.1.2.</v>
      </c>
      <c r="C172" s="12" t="str">
        <f>'1 lentelė'!$C174</f>
        <v>R096630-470000-3208</v>
      </c>
      <c r="D172" s="12" t="str">
        <f>'1 lentelė'!$D174</f>
        <v>Sveikos gyvensenos skatinimas Molėtų rajono savivaldybėje</v>
      </c>
      <c r="E172" s="12" t="str">
        <f>'1 lentelė'!$E174</f>
        <v>Molėtų rajono savivaldybės adminsitracija, partneris-Utenos rajono savivaldybės visuomenės sveikatos biuras</v>
      </c>
      <c r="F172" s="33" t="s">
        <v>66</v>
      </c>
      <c r="G172" s="33" t="s">
        <v>1079</v>
      </c>
      <c r="H172" s="26">
        <f>'1 lentelė'!$P174</f>
        <v>207636</v>
      </c>
      <c r="I172" s="26">
        <f>'1 lentelė'!$Q174</f>
        <v>176490</v>
      </c>
      <c r="J172" s="26">
        <f>'1 lentelė'!$R174</f>
        <v>15573</v>
      </c>
      <c r="K172" s="26">
        <f>'1 lentelė'!$S174</f>
        <v>15573</v>
      </c>
      <c r="L172" s="26">
        <v>207636</v>
      </c>
      <c r="M172" s="26">
        <v>176490</v>
      </c>
      <c r="N172" s="26">
        <v>15573</v>
      </c>
      <c r="O172" s="26">
        <v>15573</v>
      </c>
      <c r="P172" s="26">
        <v>76898.78</v>
      </c>
      <c r="Q172" s="26">
        <v>66137.62</v>
      </c>
      <c r="R172" s="26">
        <v>5835.75</v>
      </c>
      <c r="S172" s="26">
        <f t="shared" si="50"/>
        <v>4925.4100000000035</v>
      </c>
      <c r="T172" s="65"/>
      <c r="V172" s="40">
        <f t="shared" ref="V172:V177" si="51">L172-M172-N172-O172</f>
        <v>0</v>
      </c>
    </row>
    <row r="173" spans="2:26" s="27" customFormat="1" ht="63" customHeight="1" x14ac:dyDescent="0.25">
      <c r="B173" s="12" t="str">
        <f>'1 lentelė'!$B175</f>
        <v>3.2.2.1.3.</v>
      </c>
      <c r="C173" s="12" t="str">
        <f>'1 lentelė'!$C175</f>
        <v>R096630-470000-3209</v>
      </c>
      <c r="D173" s="12" t="str">
        <f>'1 lentelė'!$D175</f>
        <v>Sveikos gyvensenos skatinimas Utenos rajone</v>
      </c>
      <c r="E173" s="12" t="str">
        <f>'1 lentelė'!$E175</f>
        <v>Utenos rajono savivaldybės visuomenės sveikatos biuras</v>
      </c>
      <c r="F173" s="33" t="s">
        <v>66</v>
      </c>
      <c r="G173" s="33" t="s">
        <v>1079</v>
      </c>
      <c r="H173" s="26">
        <f>'1 lentelė'!$P175</f>
        <v>291706.14</v>
      </c>
      <c r="I173" s="26">
        <f>'1 lentelė'!$Q175</f>
        <v>247950.21</v>
      </c>
      <c r="J173" s="26">
        <f>'1 lentelė'!$R175</f>
        <v>21872.09</v>
      </c>
      <c r="K173" s="26">
        <f>'1 lentelė'!$S175</f>
        <v>21883.840000000022</v>
      </c>
      <c r="L173" s="26">
        <v>291706.14</v>
      </c>
      <c r="M173" s="26">
        <v>247950.21</v>
      </c>
      <c r="N173" s="26">
        <v>21872.09</v>
      </c>
      <c r="O173" s="26">
        <v>21883.84</v>
      </c>
      <c r="P173" s="26">
        <v>147070.60999999999</v>
      </c>
      <c r="Q173" s="26">
        <v>125779.74</v>
      </c>
      <c r="R173" s="26">
        <v>11095.24</v>
      </c>
      <c r="S173" s="26">
        <f>P173-Q173-R173</f>
        <v>10195.629999999981</v>
      </c>
      <c r="T173" s="26"/>
      <c r="V173" s="40">
        <f t="shared" si="51"/>
        <v>0</v>
      </c>
    </row>
    <row r="174" spans="2:26" s="27" customFormat="1" ht="126" customHeight="1" x14ac:dyDescent="0.25">
      <c r="B174" s="12" t="str">
        <f>'1 lentelė'!$B176</f>
        <v>3.2.2.1.4.</v>
      </c>
      <c r="C174" s="12" t="str">
        <f>'1 lentelė'!$C176</f>
        <v>R096630-470000-3210</v>
      </c>
      <c r="D174" s="12" t="str">
        <f>'1 lentelė'!$D176</f>
        <v>Sveikos gyvensenos skatinimas Zarasų rajono savivaldybėje</v>
      </c>
      <c r="E174" s="12" t="str">
        <f>'1 lentelė'!$E176</f>
        <v>Ignalinos rajono savivaldybės visuomenės sveikatos biuras, partneris-Zarasų rajono savivaldybės administracija</v>
      </c>
      <c r="F174" s="33" t="s">
        <v>66</v>
      </c>
      <c r="G174" s="33" t="s">
        <v>1079</v>
      </c>
      <c r="H174" s="26">
        <f>'1 lentelė'!$P176</f>
        <v>140294.17000000001</v>
      </c>
      <c r="I174" s="26">
        <f>'1 lentelė'!$Q176</f>
        <v>119250.04</v>
      </c>
      <c r="J174" s="26">
        <f>'1 lentelė'!$R176</f>
        <v>10522.06</v>
      </c>
      <c r="K174" s="26">
        <f>'1 lentelė'!$S176</f>
        <v>10522.07000000002</v>
      </c>
      <c r="L174" s="26">
        <v>140294.16999999998</v>
      </c>
      <c r="M174" s="26">
        <v>119250.04</v>
      </c>
      <c r="N174" s="26">
        <v>10522.06</v>
      </c>
      <c r="O174" s="26">
        <v>10522.07</v>
      </c>
      <c r="P174" s="26">
        <v>86905.61</v>
      </c>
      <c r="Q174" s="26">
        <v>75186.25</v>
      </c>
      <c r="R174" s="26">
        <v>6634.08</v>
      </c>
      <c r="S174" s="26">
        <f t="shared" si="50"/>
        <v>5085.2800000000007</v>
      </c>
      <c r="T174" s="65"/>
      <c r="V174" s="40">
        <f t="shared" si="51"/>
        <v>0</v>
      </c>
    </row>
    <row r="175" spans="2:26" s="27" customFormat="1" ht="75" customHeight="1" x14ac:dyDescent="0.25">
      <c r="B175" s="12" t="str">
        <f>'1 lentelė'!$B177</f>
        <v>3.2.2.1.5.</v>
      </c>
      <c r="C175" s="12" t="str">
        <f>'1 lentelė'!$C177</f>
        <v>R096630-470000-32011</v>
      </c>
      <c r="D175" s="12" t="str">
        <f>'1 lentelė'!$D177</f>
        <v>Sveikos gyvensenos skatinimas Ignalinos rajone</v>
      </c>
      <c r="E175" s="12" t="str">
        <f>'1 lentelė'!$E177</f>
        <v>Ignalinos rajono savivaldybės visuomenės sveikatos biuras</v>
      </c>
      <c r="F175" s="33" t="s">
        <v>66</v>
      </c>
      <c r="G175" s="33" t="s">
        <v>1079</v>
      </c>
      <c r="H175" s="26">
        <f>'1 lentelė'!$P177</f>
        <v>46794.12</v>
      </c>
      <c r="I175" s="26">
        <f>'1 lentelė'!$Q177</f>
        <v>39775</v>
      </c>
      <c r="J175" s="26">
        <f>'1 lentelė'!$R177</f>
        <v>3509.56</v>
      </c>
      <c r="K175" s="26">
        <f>'1 lentelė'!$S177</f>
        <v>3509.5600000000027</v>
      </c>
      <c r="L175" s="26">
        <v>46794.12</v>
      </c>
      <c r="M175" s="26">
        <v>39775</v>
      </c>
      <c r="N175" s="26">
        <v>3509.56</v>
      </c>
      <c r="O175" s="26">
        <v>3509.56</v>
      </c>
      <c r="P175" s="26">
        <v>42195.8</v>
      </c>
      <c r="Q175" s="26">
        <v>35866.44</v>
      </c>
      <c r="R175" s="26">
        <v>3164.68</v>
      </c>
      <c r="S175" s="26">
        <f t="shared" si="50"/>
        <v>3164.6800000000007</v>
      </c>
      <c r="T175" s="26"/>
      <c r="V175" s="40">
        <f t="shared" si="51"/>
        <v>0</v>
      </c>
    </row>
    <row r="176" spans="2:26" s="222" customFormat="1" ht="99.75" customHeight="1" x14ac:dyDescent="0.25">
      <c r="B176" s="12" t="str">
        <f>'1 lentelė'!$B178</f>
        <v>3.2.2.1.6.</v>
      </c>
      <c r="C176" s="12" t="str">
        <f>'1 lentelė'!$C178</f>
        <v>R096630-470000-3212</v>
      </c>
      <c r="D176" s="12" t="str">
        <f>'1 lentelė'!$D178</f>
        <v>Vaikų  sveikos  gyvensenos  skatinimas Visagino savivaldybėje</v>
      </c>
      <c r="E176" s="12" t="str">
        <f>'1 lentelė'!$E178</f>
        <v>Visagino savivaldybės administracija, partneris- Rokiškio visuomenės sveikatos biuras</v>
      </c>
      <c r="F176" s="33" t="s">
        <v>66</v>
      </c>
      <c r="G176" s="33" t="s">
        <v>872</v>
      </c>
      <c r="H176" s="26">
        <f>'1 lentelė'!$P178</f>
        <v>48223.44</v>
      </c>
      <c r="I176" s="26">
        <f>'1 lentelė'!$Q178</f>
        <v>40989.93</v>
      </c>
      <c r="J176" s="26">
        <f>'1 lentelė'!$R178</f>
        <v>3616.76</v>
      </c>
      <c r="K176" s="26">
        <f>'1 lentelė'!$S178</f>
        <v>3616.7500000000018</v>
      </c>
      <c r="L176" s="26">
        <v>54411.76</v>
      </c>
      <c r="M176" s="26">
        <v>46250</v>
      </c>
      <c r="N176" s="26">
        <v>4080.88</v>
      </c>
      <c r="O176" s="26">
        <v>4080.88</v>
      </c>
      <c r="P176" s="26">
        <v>48223.44</v>
      </c>
      <c r="Q176" s="26">
        <v>40989.93</v>
      </c>
      <c r="R176" s="26">
        <v>3616.76</v>
      </c>
      <c r="S176" s="26">
        <f t="shared" si="50"/>
        <v>3616.7500000000018</v>
      </c>
      <c r="T176" s="287" t="s">
        <v>1218</v>
      </c>
      <c r="V176" s="222">
        <f t="shared" si="51"/>
        <v>0</v>
      </c>
    </row>
    <row r="177" spans="2:22" s="6" customFormat="1" ht="77.25" customHeight="1" x14ac:dyDescent="0.25">
      <c r="B177" s="12" t="str">
        <f>'1 lentelė'!$B179</f>
        <v>3.2.2.1.7.</v>
      </c>
      <c r="C177" s="12" t="str">
        <f>'1 lentelė'!$C179</f>
        <v>R096630-470000-3236</v>
      </c>
      <c r="D177" s="12" t="str">
        <f>'1 lentelė'!$D179</f>
        <v>Sveikos gyvensenos skatinimas Ignalinos rajone. II etapas</v>
      </c>
      <c r="E177" s="12" t="str">
        <f>'1 lentelė'!$E179</f>
        <v>Ignalinos rajono savivaldybės visuomenės sveikatos biuras</v>
      </c>
      <c r="F177" s="33" t="s">
        <v>66</v>
      </c>
      <c r="G177" s="33" t="s">
        <v>1079</v>
      </c>
      <c r="H177" s="23">
        <f>'1 lentelė'!$P179</f>
        <v>25736.18</v>
      </c>
      <c r="I177" s="23">
        <f>'1 lentelė'!$Q179</f>
        <v>21875.75</v>
      </c>
      <c r="J177" s="23">
        <f>'1 lentelė'!$R179</f>
        <v>1930.21</v>
      </c>
      <c r="K177" s="23">
        <f>'1 lentelė'!$S179</f>
        <v>1930.2200000000003</v>
      </c>
      <c r="L177" s="23">
        <v>25736.18</v>
      </c>
      <c r="M177" s="23">
        <v>21875.75</v>
      </c>
      <c r="N177" s="23">
        <v>1930.21</v>
      </c>
      <c r="O177" s="23">
        <v>1930.2200000000003</v>
      </c>
      <c r="P177" s="23">
        <v>7279.09</v>
      </c>
      <c r="Q177" s="23">
        <v>6562.73</v>
      </c>
      <c r="R177" s="23">
        <v>579.05999999999995</v>
      </c>
      <c r="S177" s="23">
        <f>P177-Q177-R177</f>
        <v>137.30000000000064</v>
      </c>
      <c r="T177" s="48"/>
      <c r="V177" s="38">
        <f t="shared" si="51"/>
        <v>0</v>
      </c>
    </row>
    <row r="178" spans="2:22" s="6" customFormat="1" ht="118.5" customHeight="1" x14ac:dyDescent="0.25">
      <c r="B178" s="42" t="str">
        <f>'1 lentelė'!$B180</f>
        <v>3.2.3</v>
      </c>
      <c r="C178" s="42"/>
      <c r="D178" s="42" t="str">
        <f>'1 lentelė'!$D180</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25">
      <c r="B179" s="44" t="str">
        <f>'1 lentelė'!$B181</f>
        <v>3.2.3.1</v>
      </c>
      <c r="C179" s="232" t="s">
        <v>1172</v>
      </c>
      <c r="D179" s="76" t="str">
        <f>'1 lentelė'!$D181</f>
        <v>Priemonė: Socialinių paslaugų infrastruktūros plėtra</v>
      </c>
      <c r="E179" s="44"/>
      <c r="F179" s="44"/>
      <c r="G179" s="44"/>
      <c r="H179" s="263">
        <f>SUM(H180:H183)</f>
        <v>1222220.76</v>
      </c>
      <c r="I179" s="263">
        <f t="shared" ref="I179:S179" si="52">SUM(I180:I183)</f>
        <v>810748</v>
      </c>
      <c r="J179" s="263">
        <f t="shared" si="52"/>
        <v>0</v>
      </c>
      <c r="K179" s="263">
        <f t="shared" si="52"/>
        <v>411472.75999999995</v>
      </c>
      <c r="L179" s="263">
        <f t="shared" si="52"/>
        <v>1235369.54</v>
      </c>
      <c r="M179" s="263">
        <f t="shared" si="52"/>
        <v>821924.45</v>
      </c>
      <c r="N179" s="263">
        <f t="shared" si="52"/>
        <v>0</v>
      </c>
      <c r="O179" s="263">
        <f t="shared" si="52"/>
        <v>413445.09</v>
      </c>
      <c r="P179" s="263">
        <f t="shared" si="52"/>
        <v>1014440.62</v>
      </c>
      <c r="Q179" s="263">
        <f t="shared" si="52"/>
        <v>693342.81</v>
      </c>
      <c r="R179" s="263">
        <f t="shared" si="52"/>
        <v>0</v>
      </c>
      <c r="S179" s="263">
        <f t="shared" si="52"/>
        <v>321097.80999999994</v>
      </c>
      <c r="T179" s="29"/>
    </row>
    <row r="180" spans="2:22" s="6" customFormat="1" ht="56.25" customHeight="1" x14ac:dyDescent="0.25">
      <c r="B180" s="12" t="str">
        <f>'1 lentelė'!$B182</f>
        <v>3.2.3.1.1</v>
      </c>
      <c r="C180" s="12" t="str">
        <f>'1 lentelė'!$C182</f>
        <v>R094407-270000-3213</v>
      </c>
      <c r="D180" s="12" t="str">
        <f>'1 lentelė'!$D182</f>
        <v>Anykščių rajono Svėdasų senelių globos namų modernizavimas</v>
      </c>
      <c r="E180" s="12" t="str">
        <f>'1 lentelė'!$E182</f>
        <v>Anykščių rajono savivaldybės administracija</v>
      </c>
      <c r="F180" s="33" t="s">
        <v>66</v>
      </c>
      <c r="G180" s="33" t="s">
        <v>1079</v>
      </c>
      <c r="H180" s="26">
        <f>'1 lentelė'!$P182</f>
        <v>99969.63</v>
      </c>
      <c r="I180" s="23">
        <f>'1 lentelė'!$Q182</f>
        <v>84974.19</v>
      </c>
      <c r="J180" s="23">
        <f>'1 lentelė'!$R182</f>
        <v>0</v>
      </c>
      <c r="K180" s="23">
        <f>'1 lentelė'!$S182</f>
        <v>14995.44</v>
      </c>
      <c r="L180" s="23">
        <v>84698.81</v>
      </c>
      <c r="M180" s="23">
        <v>71993.98</v>
      </c>
      <c r="N180" s="23">
        <v>0</v>
      </c>
      <c r="O180" s="23">
        <v>12704.83</v>
      </c>
      <c r="P180" s="23">
        <v>0</v>
      </c>
      <c r="Q180" s="23">
        <v>0</v>
      </c>
      <c r="R180" s="23">
        <v>0</v>
      </c>
      <c r="S180" s="23">
        <v>0</v>
      </c>
      <c r="T180" s="23"/>
      <c r="V180" s="38">
        <f>L180-M180-N180-O180</f>
        <v>0</v>
      </c>
    </row>
    <row r="181" spans="2:22" s="27" customFormat="1" ht="75" customHeight="1" x14ac:dyDescent="0.25">
      <c r="B181" s="12" t="str">
        <f>'1 lentelė'!$B183</f>
        <v>3.2.3.1.2</v>
      </c>
      <c r="C181" s="12" t="str">
        <f>'1 lentelė'!$C183</f>
        <v>R094407-270000-3214</v>
      </c>
      <c r="D181" s="12" t="str">
        <f>'1 lentelė'!$D183</f>
        <v>Utenos rajono savivaldybės Leliūnų socialinės globos namų modernizavimas</v>
      </c>
      <c r="E181" s="12" t="str">
        <f>'1 lentelė'!$E183</f>
        <v>Utenos rajono savivaldybės Leliūnų socialinės globos namai</v>
      </c>
      <c r="F181" s="33" t="s">
        <v>66</v>
      </c>
      <c r="G181" s="33" t="s">
        <v>872</v>
      </c>
      <c r="H181" s="26">
        <f>'1 lentelė'!$P183</f>
        <v>55347.3</v>
      </c>
      <c r="I181" s="26">
        <f>'1 lentelė'!$Q183</f>
        <v>47045.2</v>
      </c>
      <c r="J181" s="26">
        <f>'1 lentelė'!$R183</f>
        <v>0</v>
      </c>
      <c r="K181" s="26">
        <f>'1 lentelė'!$S183</f>
        <v>8302.1000000000058</v>
      </c>
      <c r="L181" s="26">
        <v>70618.14</v>
      </c>
      <c r="M181" s="26">
        <v>60025.41</v>
      </c>
      <c r="N181" s="26">
        <v>0</v>
      </c>
      <c r="O181" s="26">
        <v>10592.73</v>
      </c>
      <c r="P181" s="26">
        <v>55347.3</v>
      </c>
      <c r="Q181" s="26">
        <v>47045.2</v>
      </c>
      <c r="R181" s="26">
        <v>0</v>
      </c>
      <c r="S181" s="26">
        <f>P181-Q181</f>
        <v>8302.1000000000058</v>
      </c>
      <c r="T181" s="26" t="s">
        <v>1216</v>
      </c>
      <c r="V181" s="40">
        <f t="shared" ref="V181:V183" si="53">L181-M181-N181-O181</f>
        <v>0</v>
      </c>
    </row>
    <row r="182" spans="2:22" s="27" customFormat="1" ht="77.25" customHeight="1" x14ac:dyDescent="0.25">
      <c r="B182" s="12" t="str">
        <f>'1 lentelė'!$B184</f>
        <v>3.2.3.1.3</v>
      </c>
      <c r="C182" s="12" t="str">
        <f>'1 lentelė'!$C184</f>
        <v>R094407-270000-3215</v>
      </c>
      <c r="D182" s="12" t="str">
        <f>'1 lentelė'!$D184</f>
        <v>Zarasų rajono socialinių paslaugų centro nakvynės namų modernizavimas ir plėtra</v>
      </c>
      <c r="E182" s="12" t="str">
        <f>'1 lentelė'!$E184</f>
        <v>Zarasų rajono socialinių paslaugų centras</v>
      </c>
      <c r="F182" s="33" t="s">
        <v>66</v>
      </c>
      <c r="G182" s="33" t="s">
        <v>872</v>
      </c>
      <c r="H182" s="26">
        <f>'1 lentelė'!$P184</f>
        <v>37739.24</v>
      </c>
      <c r="I182" s="26">
        <f>'1 lentelė'!$Q184</f>
        <v>32078.35</v>
      </c>
      <c r="J182" s="26">
        <f>'1 lentelė'!$R184</f>
        <v>0</v>
      </c>
      <c r="K182" s="26">
        <f>'1 lentelė'!$S184</f>
        <v>5660.8899999999994</v>
      </c>
      <c r="L182" s="26">
        <v>50888</v>
      </c>
      <c r="M182" s="26">
        <v>43254.8</v>
      </c>
      <c r="N182" s="26">
        <v>0</v>
      </c>
      <c r="O182" s="26">
        <v>7633.2</v>
      </c>
      <c r="P182" s="26">
        <f>Q182+R182+S182</f>
        <v>37739.24</v>
      </c>
      <c r="Q182" s="26">
        <v>32078.35</v>
      </c>
      <c r="R182" s="26">
        <v>0</v>
      </c>
      <c r="S182" s="26">
        <v>5660.89</v>
      </c>
      <c r="T182" s="26" t="s">
        <v>1219</v>
      </c>
      <c r="V182" s="40">
        <f t="shared" si="53"/>
        <v>0</v>
      </c>
    </row>
    <row r="183" spans="2:22" s="27" customFormat="1" ht="140.25" customHeight="1" x14ac:dyDescent="0.25">
      <c r="B183" s="12" t="str">
        <f>'1 lentelė'!$B185</f>
        <v>3.2.3.1.4</v>
      </c>
      <c r="C183" s="12" t="str">
        <f>'1 lentelė'!$C185</f>
        <v>R094407-270000-3216</v>
      </c>
      <c r="D183" s="12" t="str">
        <f>'1 lentelė'!$D185</f>
        <v>Apleisto (nenaudojamo) buvusio visuomeninio pastato konversija ir pritaikymas savarankiško gyvenimo namų Visagine įkūrimas</v>
      </c>
      <c r="E183" s="12" t="str">
        <f>'1 lentelė'!$E185</f>
        <v>Visagino savivaldybės administracija</v>
      </c>
      <c r="F183" s="29" t="s">
        <v>65</v>
      </c>
      <c r="G183" s="33" t="s">
        <v>1079</v>
      </c>
      <c r="H183" s="26">
        <f>'1 lentelė'!$P185</f>
        <v>1029164.59</v>
      </c>
      <c r="I183" s="26">
        <f>'1 lentelė'!$Q185</f>
        <v>646650.26</v>
      </c>
      <c r="J183" s="26">
        <f>'1 lentelė'!$R185</f>
        <v>0</v>
      </c>
      <c r="K183" s="26">
        <f>'1 lentelė'!$S185</f>
        <v>382514.32999999996</v>
      </c>
      <c r="L183" s="26">
        <v>1029164.5900000001</v>
      </c>
      <c r="M183" s="26">
        <v>646650.26</v>
      </c>
      <c r="N183" s="26">
        <v>0</v>
      </c>
      <c r="O183" s="26">
        <v>382514.33</v>
      </c>
      <c r="P183" s="26">
        <v>921354.08</v>
      </c>
      <c r="Q183" s="26">
        <v>614219.26</v>
      </c>
      <c r="R183" s="26">
        <v>0</v>
      </c>
      <c r="S183" s="26">
        <f>P183-Q183</f>
        <v>307134.81999999995</v>
      </c>
      <c r="T183" s="26"/>
      <c r="V183" s="40">
        <f t="shared" si="53"/>
        <v>0</v>
      </c>
    </row>
    <row r="184" spans="2:22" s="6" customFormat="1" ht="54.75" customHeight="1" x14ac:dyDescent="0.25">
      <c r="B184" s="44" t="str">
        <f>'1 lentelė'!$B186</f>
        <v>3.2.3.2</v>
      </c>
      <c r="C184" s="232" t="s">
        <v>613</v>
      </c>
      <c r="D184" s="76" t="str">
        <f>'1 lentelė'!$D186</f>
        <v>Priemonė: Socialinio būsto fondo plėtra</v>
      </c>
      <c r="E184" s="44"/>
      <c r="F184" s="44"/>
      <c r="G184" s="44"/>
      <c r="H184" s="263">
        <f>SUM(H185:H190)</f>
        <v>2565013.8299999996</v>
      </c>
      <c r="I184" s="263">
        <f t="shared" ref="I184:S184" si="54">SUM(I185:I190)</f>
        <v>2180206.1800000002</v>
      </c>
      <c r="J184" s="263">
        <f t="shared" si="54"/>
        <v>0</v>
      </c>
      <c r="K184" s="263">
        <f t="shared" si="54"/>
        <v>384807.64999999997</v>
      </c>
      <c r="L184" s="263">
        <f t="shared" si="54"/>
        <v>2581906.2000000002</v>
      </c>
      <c r="M184" s="263">
        <f t="shared" si="54"/>
        <v>2194566.25</v>
      </c>
      <c r="N184" s="263">
        <f t="shared" si="54"/>
        <v>0</v>
      </c>
      <c r="O184" s="263">
        <f t="shared" si="54"/>
        <v>387339.95</v>
      </c>
      <c r="P184" s="263">
        <f t="shared" si="54"/>
        <v>2240838.91</v>
      </c>
      <c r="Q184" s="263">
        <f t="shared" si="54"/>
        <v>1919878.3599999999</v>
      </c>
      <c r="R184" s="263">
        <f t="shared" si="54"/>
        <v>0</v>
      </c>
      <c r="S184" s="263">
        <f t="shared" si="54"/>
        <v>320960.55000000005</v>
      </c>
      <c r="T184" s="29"/>
    </row>
    <row r="185" spans="2:22" s="27" customFormat="1" ht="52.5" customHeight="1" x14ac:dyDescent="0.25">
      <c r="B185" s="12" t="str">
        <f>'1 lentelė'!$B187</f>
        <v>3.2.3.2.1</v>
      </c>
      <c r="C185" s="12" t="str">
        <f>'1 lentelė'!$C187</f>
        <v>R094408-252600-3217</v>
      </c>
      <c r="D185" s="12" t="str">
        <f>'1 lentelė'!$D187</f>
        <v>Socialinio būsto fondo plėtra Ignalinos rajono savivaldybėje</v>
      </c>
      <c r="E185" s="12" t="str">
        <f>'1 lentelė'!$E187</f>
        <v>Ignalinos rajono savivaldybės administracija</v>
      </c>
      <c r="F185" s="29" t="s">
        <v>65</v>
      </c>
      <c r="G185" s="33" t="s">
        <v>1079</v>
      </c>
      <c r="H185" s="26">
        <f>'1 lentelė'!$P187</f>
        <v>431079.82</v>
      </c>
      <c r="I185" s="26">
        <f>'1 lentelė'!$Q187</f>
        <v>366417.84</v>
      </c>
      <c r="J185" s="26">
        <f>'1 lentelė'!$R187</f>
        <v>0</v>
      </c>
      <c r="K185" s="26">
        <f>'1 lentelė'!$S187</f>
        <v>64661.979999999981</v>
      </c>
      <c r="L185" s="26">
        <v>431079.82</v>
      </c>
      <c r="M185" s="26">
        <v>366417.84</v>
      </c>
      <c r="N185" s="26">
        <v>0</v>
      </c>
      <c r="O185" s="26">
        <v>64661.98</v>
      </c>
      <c r="P185" s="26">
        <v>372544.37</v>
      </c>
      <c r="Q185" s="26">
        <v>327147.76</v>
      </c>
      <c r="R185" s="26">
        <v>0</v>
      </c>
      <c r="S185" s="26">
        <f t="shared" ref="S185:S190" si="55">P185-Q185</f>
        <v>45396.609999999986</v>
      </c>
      <c r="T185" s="26"/>
      <c r="V185" s="40">
        <f>L185-M185-N185-O185</f>
        <v>0</v>
      </c>
    </row>
    <row r="186" spans="2:22" s="27" customFormat="1" ht="99" customHeight="1" x14ac:dyDescent="0.25">
      <c r="B186" s="12" t="str">
        <f>'1 lentelė'!$B188</f>
        <v>3.2.3.2.2</v>
      </c>
      <c r="C186" s="12" t="str">
        <f>'1 lentelė'!$C188</f>
        <v>R094408-250000-3218</v>
      </c>
      <c r="D186" s="12" t="str">
        <f>'1 lentelė'!$D188</f>
        <v>Bendrabučio tipo pastato, esančio Visagine,  Kosmoso 28, patalpų pritaikymas socialinio būsto įrengimui</v>
      </c>
      <c r="E186" s="12" t="str">
        <f>'1 lentelė'!$E188</f>
        <v>Visagino savivaldybės administracija</v>
      </c>
      <c r="F186" s="29" t="s">
        <v>65</v>
      </c>
      <c r="G186" s="33" t="s">
        <v>872</v>
      </c>
      <c r="H186" s="26">
        <f>'1 lentelė'!$P188</f>
        <v>368240.29</v>
      </c>
      <c r="I186" s="26">
        <f>'1 lentelė'!$Q188</f>
        <v>313004.24</v>
      </c>
      <c r="J186" s="26">
        <f>'1 lentelė'!$R188</f>
        <v>0</v>
      </c>
      <c r="K186" s="26">
        <f>'1 lentelė'!$S188</f>
        <v>55236.049999999988</v>
      </c>
      <c r="L186" s="26">
        <v>429341.5</v>
      </c>
      <c r="M186" s="26">
        <v>364940.27</v>
      </c>
      <c r="N186" s="26">
        <v>0</v>
      </c>
      <c r="O186" s="26">
        <v>64401.23</v>
      </c>
      <c r="P186" s="26">
        <v>368240.29</v>
      </c>
      <c r="Q186" s="26">
        <v>313004.24</v>
      </c>
      <c r="R186" s="26">
        <v>0</v>
      </c>
      <c r="S186" s="26">
        <f t="shared" si="55"/>
        <v>55236.049999999988</v>
      </c>
      <c r="T186" s="342" t="s">
        <v>1513</v>
      </c>
      <c r="V186" s="40">
        <f t="shared" ref="V186:V190" si="56">L186-M186-N186-O186</f>
        <v>0</v>
      </c>
    </row>
    <row r="187" spans="2:22" s="27" customFormat="1" ht="53.25" customHeight="1" x14ac:dyDescent="0.25">
      <c r="B187" s="12" t="str">
        <f>'1 lentelė'!$B189</f>
        <v>3.2.3.2.3</v>
      </c>
      <c r="C187" s="12" t="str">
        <f>'1 lentelė'!$C189</f>
        <v>R094408-250000-3219</v>
      </c>
      <c r="D187" s="12" t="str">
        <f>'1 lentelė'!$D189</f>
        <v>Socialinio būsto fondo plėtra Anykščių rajono savivaldybėje</v>
      </c>
      <c r="E187" s="12" t="str">
        <f>'1 lentelė'!$E189</f>
        <v>Anykščių rajono savivaldybės administracija</v>
      </c>
      <c r="F187" s="33" t="s">
        <v>66</v>
      </c>
      <c r="G187" s="33" t="s">
        <v>1079</v>
      </c>
      <c r="H187" s="26">
        <f>'1 lentelė'!$P189</f>
        <v>301122.82</v>
      </c>
      <c r="I187" s="26">
        <f>'1 lentelė'!$Q189</f>
        <v>255954.39</v>
      </c>
      <c r="J187" s="26">
        <f>'1 lentelė'!$R189</f>
        <v>0</v>
      </c>
      <c r="K187" s="26">
        <f>'1 lentelė'!$S189</f>
        <v>45168.429999999993</v>
      </c>
      <c r="L187" s="26">
        <v>301122.82</v>
      </c>
      <c r="M187" s="26">
        <v>255954.39</v>
      </c>
      <c r="N187" s="26">
        <v>0</v>
      </c>
      <c r="O187" s="26">
        <v>45168.43</v>
      </c>
      <c r="P187" s="26">
        <v>196346.45</v>
      </c>
      <c r="Q187" s="26">
        <v>171618.35</v>
      </c>
      <c r="R187" s="26">
        <v>0</v>
      </c>
      <c r="S187" s="26">
        <f t="shared" si="55"/>
        <v>24728.100000000006</v>
      </c>
      <c r="T187" s="26"/>
      <c r="V187" s="40">
        <f t="shared" si="56"/>
        <v>0</v>
      </c>
    </row>
    <row r="188" spans="2:22" s="27" customFormat="1" ht="52.5" customHeight="1" x14ac:dyDescent="0.25">
      <c r="B188" s="12" t="str">
        <f>'1 lentelė'!$B190</f>
        <v>3.2.3.2.4</v>
      </c>
      <c r="C188" s="12" t="str">
        <f>'1 lentelė'!$C190</f>
        <v>R094408-262500-3220</v>
      </c>
      <c r="D188" s="12" t="str">
        <f>'1 lentelė'!$D190</f>
        <v>Socialinio būsto fondo plėtra Molėtų rajono savivaldybėje</v>
      </c>
      <c r="E188" s="12" t="str">
        <f>'1 lentelė'!$E190</f>
        <v>Molėtų rajono savivaldybės administracija</v>
      </c>
      <c r="F188" s="33" t="s">
        <v>66</v>
      </c>
      <c r="G188" s="33" t="s">
        <v>1079</v>
      </c>
      <c r="H188" s="26">
        <f>'1 lentelė'!$P190</f>
        <v>606083.22</v>
      </c>
      <c r="I188" s="26">
        <f>'1 lentelė'!$Q190</f>
        <v>515116</v>
      </c>
      <c r="J188" s="26">
        <f>'1 lentelė'!$R190</f>
        <v>0</v>
      </c>
      <c r="K188" s="26">
        <f>'1 lentelė'!$S190</f>
        <v>90967.22</v>
      </c>
      <c r="L188" s="26">
        <v>577222.22</v>
      </c>
      <c r="M188" s="26">
        <v>490585</v>
      </c>
      <c r="N188" s="26">
        <v>0</v>
      </c>
      <c r="O188" s="26">
        <v>86637.22</v>
      </c>
      <c r="P188" s="26">
        <v>466082.89</v>
      </c>
      <c r="Q188" s="26">
        <v>396126.95</v>
      </c>
      <c r="R188" s="26">
        <v>0</v>
      </c>
      <c r="S188" s="26">
        <f t="shared" si="55"/>
        <v>69955.94</v>
      </c>
      <c r="T188" s="26"/>
      <c r="V188" s="40">
        <f t="shared" si="56"/>
        <v>0</v>
      </c>
    </row>
    <row r="189" spans="2:22" s="27" customFormat="1" ht="51" customHeight="1" x14ac:dyDescent="0.25">
      <c r="B189" s="12" t="str">
        <f>'1 lentelė'!$B191</f>
        <v>3.2.3.2.5</v>
      </c>
      <c r="C189" s="12" t="str">
        <f>'1 lentelė'!$C191</f>
        <v>R094408-260000-3221</v>
      </c>
      <c r="D189" s="12" t="str">
        <f>'1 lentelė'!$D191</f>
        <v>Socialinio būsto fondo plėtra Zarasų rajono savivaldybėje</v>
      </c>
      <c r="E189" s="12" t="str">
        <f>'1 lentelė'!$E191</f>
        <v>Zarasų rajono savivaldybės administracija</v>
      </c>
      <c r="F189" s="33" t="s">
        <v>66</v>
      </c>
      <c r="G189" s="33" t="s">
        <v>1079</v>
      </c>
      <c r="H189" s="26">
        <f>'1 lentelė'!$P191</f>
        <v>362086.83999999997</v>
      </c>
      <c r="I189" s="26">
        <f>'1 lentelė'!$Q191</f>
        <v>307773</v>
      </c>
      <c r="J189" s="26">
        <f>'1 lentelė'!$R191</f>
        <v>0</v>
      </c>
      <c r="K189" s="26">
        <f>'1 lentelė'!$S191</f>
        <v>54313.84</v>
      </c>
      <c r="L189" s="26">
        <v>344844.83999999997</v>
      </c>
      <c r="M189" s="26">
        <v>293118</v>
      </c>
      <c r="N189" s="26">
        <v>0</v>
      </c>
      <c r="O189" s="26">
        <v>51726.84</v>
      </c>
      <c r="P189" s="26">
        <v>341224.07</v>
      </c>
      <c r="Q189" s="26">
        <v>290040.34999999998</v>
      </c>
      <c r="R189" s="26">
        <v>0</v>
      </c>
      <c r="S189" s="26">
        <f t="shared" si="55"/>
        <v>51183.72000000003</v>
      </c>
      <c r="T189" s="26"/>
      <c r="V189" s="40">
        <f t="shared" si="56"/>
        <v>0</v>
      </c>
    </row>
    <row r="190" spans="2:22" s="27" customFormat="1" ht="54.75" customHeight="1" x14ac:dyDescent="0.25">
      <c r="B190" s="12" t="str">
        <f>'1 lentelė'!$B192</f>
        <v>3.2.3.2.6</v>
      </c>
      <c r="C190" s="12" t="str">
        <f>'1 lentelė'!$C192</f>
        <v>R094408-260000-3222</v>
      </c>
      <c r="D190" s="12" t="str">
        <f>'1 lentelė'!$D192</f>
        <v>Socialinio būsto fondo plėtra Utenos rajono savivaldybėje</v>
      </c>
      <c r="E190" s="12" t="str">
        <f>'1 lentelė'!$E192</f>
        <v>Utenos rajono savivaldybės administracija</v>
      </c>
      <c r="F190" s="33" t="s">
        <v>66</v>
      </c>
      <c r="G190" s="33" t="s">
        <v>872</v>
      </c>
      <c r="H190" s="26">
        <f>'1 lentelė'!$P192</f>
        <v>496400.84</v>
      </c>
      <c r="I190" s="26">
        <f>'1 lentelė'!$Q192</f>
        <v>421940.71</v>
      </c>
      <c r="J190" s="26">
        <f>'1 lentelė'!$R192</f>
        <v>0</v>
      </c>
      <c r="K190" s="26">
        <f>'1 lentelė'!$S192</f>
        <v>74460.13</v>
      </c>
      <c r="L190" s="26">
        <v>498295</v>
      </c>
      <c r="M190" s="26">
        <v>423550.75</v>
      </c>
      <c r="N190" s="26">
        <v>0</v>
      </c>
      <c r="O190" s="26">
        <v>74744.25</v>
      </c>
      <c r="P190" s="26">
        <v>496400.84</v>
      </c>
      <c r="Q190" s="26">
        <v>421940.71</v>
      </c>
      <c r="R190" s="26">
        <v>0</v>
      </c>
      <c r="S190" s="26">
        <f t="shared" si="55"/>
        <v>74460.13</v>
      </c>
      <c r="T190" s="26" t="s">
        <v>1514</v>
      </c>
      <c r="V190" s="40">
        <f t="shared" si="56"/>
        <v>0</v>
      </c>
    </row>
    <row r="191" spans="2:22" s="6" customFormat="1" ht="66.75" customHeight="1" x14ac:dyDescent="0.25">
      <c r="B191" s="42" t="str">
        <f>'1 lentelė'!$B193</f>
        <v>3.2.4</v>
      </c>
      <c r="C191" s="42"/>
      <c r="D191" s="42" t="str">
        <f>'1 lentelė'!$D193</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25">
      <c r="B192" s="44" t="str">
        <f>'1 lentelė'!$B194</f>
        <v>3.2.4.1</v>
      </c>
      <c r="C192" s="232" t="s">
        <v>1173</v>
      </c>
      <c r="D192" s="76" t="str">
        <f>'1 lentelė'!$D194</f>
        <v>Priemonė: Modernizuoti savivaldybių kultūros infrastuktūrą</v>
      </c>
      <c r="E192" s="44"/>
      <c r="F192" s="44"/>
      <c r="G192" s="44"/>
      <c r="H192" s="263">
        <f>SUM(H193:H198)</f>
        <v>5743640.04</v>
      </c>
      <c r="I192" s="263">
        <f t="shared" ref="I192:S192" si="57">SUM(I193:I198)</f>
        <v>4760141.0600000005</v>
      </c>
      <c r="J192" s="263">
        <f t="shared" si="57"/>
        <v>600000</v>
      </c>
      <c r="K192" s="263">
        <f t="shared" si="57"/>
        <v>383498.98000000016</v>
      </c>
      <c r="L192" s="263">
        <f t="shared" si="57"/>
        <v>5751536.3399999999</v>
      </c>
      <c r="M192" s="263">
        <f t="shared" si="57"/>
        <v>4766852.91</v>
      </c>
      <c r="N192" s="263">
        <f t="shared" si="57"/>
        <v>600000</v>
      </c>
      <c r="O192" s="263">
        <f t="shared" si="57"/>
        <v>384683.42999999993</v>
      </c>
      <c r="P192" s="263">
        <f t="shared" si="57"/>
        <v>5039016.5</v>
      </c>
      <c r="Q192" s="263">
        <f t="shared" si="57"/>
        <v>4239248.26</v>
      </c>
      <c r="R192" s="263">
        <f t="shared" si="57"/>
        <v>0</v>
      </c>
      <c r="S192" s="263">
        <f t="shared" si="57"/>
        <v>799768.23999999964</v>
      </c>
      <c r="T192" s="263"/>
    </row>
    <row r="193" spans="2:25" s="27" customFormat="1" ht="109.5" customHeight="1" x14ac:dyDescent="0.25">
      <c r="B193" s="12" t="str">
        <f>'1 lentelė'!$B195</f>
        <v>3.2.4.1.1</v>
      </c>
      <c r="C193" s="12" t="str">
        <f>'1 lentelė'!$C195</f>
        <v>R093305-330000-3223</v>
      </c>
      <c r="D193" s="12" t="str">
        <f>'1 lentelė'!$D195</f>
        <v xml:space="preserve">Ignalinos rajono savivaldybės viešosios bibliotekos infrastruktūros pritaikymas vietos bendruomenės poreikiams </v>
      </c>
      <c r="E193" s="12" t="str">
        <f>'1 lentelė'!$E195</f>
        <v>Ignalinos rajono savivaldybės administracija</v>
      </c>
      <c r="F193" s="29" t="s">
        <v>65</v>
      </c>
      <c r="G193" s="33" t="s">
        <v>872</v>
      </c>
      <c r="H193" s="26">
        <f>'1 lentelė'!$P195</f>
        <v>70588</v>
      </c>
      <c r="I193" s="26">
        <f>'1 lentelė'!$Q195</f>
        <v>59999.8</v>
      </c>
      <c r="J193" s="26">
        <f>'1 lentelė'!$R195</f>
        <v>0</v>
      </c>
      <c r="K193" s="26">
        <f>'1 lentelė'!$S195</f>
        <v>10588.199999999997</v>
      </c>
      <c r="L193" s="26">
        <v>70588</v>
      </c>
      <c r="M193" s="26">
        <v>59999.8</v>
      </c>
      <c r="N193" s="26">
        <v>0</v>
      </c>
      <c r="O193" s="26">
        <v>10588.2</v>
      </c>
      <c r="P193" s="26">
        <v>70588</v>
      </c>
      <c r="Q193" s="26">
        <v>59999.8</v>
      </c>
      <c r="R193" s="26">
        <v>0</v>
      </c>
      <c r="S193" s="26">
        <v>10588.2</v>
      </c>
      <c r="T193" s="26" t="s">
        <v>883</v>
      </c>
      <c r="V193" s="40">
        <f>L193-M193-N193-O193</f>
        <v>0</v>
      </c>
      <c r="W193" s="40"/>
      <c r="X193" s="40">
        <v>0</v>
      </c>
      <c r="Y193" s="40"/>
    </row>
    <row r="194" spans="2:25" s="27" customFormat="1" ht="99" customHeight="1" x14ac:dyDescent="0.25">
      <c r="B194" s="12" t="str">
        <f>'1 lentelė'!$B196</f>
        <v>3.2.4.1.2</v>
      </c>
      <c r="C194" s="12" t="str">
        <f>'1 lentelė'!$C196</f>
        <v>R093305-334300-3224</v>
      </c>
      <c r="D194" s="12" t="str">
        <f>'1 lentelė'!$D196</f>
        <v>Renginių infrastruktūros atnaujinimas Zarasų miesto Didžiojoje saloje</v>
      </c>
      <c r="E194" s="12" t="str">
        <f>'1 lentelė'!$E196</f>
        <v>Zarasų rajono savivaldybės administracija, partneris- Zarasų rajono savivaldybės kultūros centras</v>
      </c>
      <c r="F194" s="29" t="s">
        <v>65</v>
      </c>
      <c r="G194" s="33" t="s">
        <v>1079</v>
      </c>
      <c r="H194" s="26">
        <f>'1 lentelė'!$P196</f>
        <v>589242.18000000005</v>
      </c>
      <c r="I194" s="26">
        <f>'1 lentelė'!$Q196</f>
        <v>420000</v>
      </c>
      <c r="J194" s="26">
        <f>'1 lentelė'!$R196</f>
        <v>0</v>
      </c>
      <c r="K194" s="26">
        <f>'1 lentelė'!$S196</f>
        <v>169242.18000000005</v>
      </c>
      <c r="L194" s="26">
        <v>589242.17999999993</v>
      </c>
      <c r="M194" s="26">
        <v>420000</v>
      </c>
      <c r="N194" s="26">
        <v>0</v>
      </c>
      <c r="O194" s="26">
        <f>L194-M194</f>
        <v>169242.17999999993</v>
      </c>
      <c r="P194" s="26">
        <v>502440.19</v>
      </c>
      <c r="Q194" s="26">
        <v>382358.83</v>
      </c>
      <c r="R194" s="26">
        <v>0</v>
      </c>
      <c r="S194" s="26">
        <f>P194-Q194</f>
        <v>120081.35999999999</v>
      </c>
      <c r="T194" s="26"/>
      <c r="V194" s="40">
        <f t="shared" ref="V194:V198" si="58">L194-M194-N194-O194</f>
        <v>0</v>
      </c>
      <c r="W194" s="40"/>
      <c r="X194" s="40">
        <v>20993</v>
      </c>
      <c r="Y194" s="40" t="s">
        <v>882</v>
      </c>
    </row>
    <row r="195" spans="2:25" s="27" customFormat="1" ht="87.75" customHeight="1" x14ac:dyDescent="0.25">
      <c r="B195" s="12" t="str">
        <f>'1 lentelė'!$B197</f>
        <v>3.2.4.1.3</v>
      </c>
      <c r="C195" s="12" t="str">
        <f>'1 lentelė'!$C197</f>
        <v>R093305-330000-3225</v>
      </c>
      <c r="D195" s="12" t="str">
        <f>'1 lentelė'!$D197</f>
        <v>Molėtų miesto laisvalaikio ir pramogų infrastruktūros atnaujinimas ir plėtra Labanoro g. 1b, Molėtai</v>
      </c>
      <c r="E195" s="12" t="str">
        <f>'1 lentelė'!$E197</f>
        <v>Molėtų rajono savivaldybės administracija</v>
      </c>
      <c r="F195" s="29" t="s">
        <v>65</v>
      </c>
      <c r="G195" s="33" t="s">
        <v>872</v>
      </c>
      <c r="H195" s="26">
        <f>'1 lentelė'!$P197</f>
        <v>256026.88</v>
      </c>
      <c r="I195" s="26">
        <f>'1 lentelė'!$Q197</f>
        <v>217622.84</v>
      </c>
      <c r="J195" s="26">
        <f>'1 lentelė'!$R197</f>
        <v>0</v>
      </c>
      <c r="K195" s="26">
        <f>'1 lentelė'!$S197</f>
        <v>38404.040000000008</v>
      </c>
      <c r="L195" s="26">
        <v>263922.88</v>
      </c>
      <c r="M195" s="26">
        <v>224334.44</v>
      </c>
      <c r="N195" s="26">
        <v>0</v>
      </c>
      <c r="O195" s="26">
        <v>39588.44</v>
      </c>
      <c r="P195" s="26">
        <v>256026.88</v>
      </c>
      <c r="Q195" s="26">
        <v>217622.84</v>
      </c>
      <c r="R195" s="26">
        <v>0</v>
      </c>
      <c r="S195" s="26">
        <f>P195-Q195</f>
        <v>38404.040000000008</v>
      </c>
      <c r="T195" s="26" t="s">
        <v>1220</v>
      </c>
      <c r="V195" s="40">
        <f t="shared" si="58"/>
        <v>0</v>
      </c>
      <c r="W195" s="40"/>
      <c r="X195" s="40">
        <v>0</v>
      </c>
      <c r="Y195" s="40"/>
    </row>
    <row r="196" spans="2:25" s="27" customFormat="1" ht="179.25" customHeight="1" x14ac:dyDescent="0.25">
      <c r="B196" s="12" t="str">
        <f>'1 lentelė'!$B198</f>
        <v>3.2.4.1.4</v>
      </c>
      <c r="C196" s="12" t="str">
        <f>'1 lentelė'!$C198</f>
        <v>R093305-330000-3226</v>
      </c>
      <c r="D196" s="12" t="str">
        <f>'1 lentelė'!$D198</f>
        <v>Buvusios Sedulinos mokyklos pastato pritaikymas Visagino kultūros centro ir bendruomenės reikmėms, įrengiant Kultūros, turizmo ir kūrybinio verslo miestą po vienu stogu.</v>
      </c>
      <c r="E196" s="12" t="str">
        <f>'1 lentelė'!$E198</f>
        <v>Visagino kultūros centras</v>
      </c>
      <c r="F196" s="29" t="s">
        <v>65</v>
      </c>
      <c r="G196" s="33" t="s">
        <v>1079</v>
      </c>
      <c r="H196" s="26">
        <f>'1 lentelė'!$P198</f>
        <v>797588.28</v>
      </c>
      <c r="I196" s="26">
        <f>'1 lentelė'!$Q198</f>
        <v>636853.66999999993</v>
      </c>
      <c r="J196" s="26">
        <f>'1 lentelė'!$R198</f>
        <v>0</v>
      </c>
      <c r="K196" s="26">
        <f>'1 lentelė'!$S198</f>
        <v>160734.6100000001</v>
      </c>
      <c r="L196" s="26">
        <v>797588.28</v>
      </c>
      <c r="M196" s="26">
        <v>636853.67000000004</v>
      </c>
      <c r="N196" s="26">
        <v>0</v>
      </c>
      <c r="O196" s="26">
        <v>160734.60999999999</v>
      </c>
      <c r="P196" s="26">
        <v>575550.37</v>
      </c>
      <c r="Q196" s="26">
        <v>459562.13</v>
      </c>
      <c r="R196" s="26">
        <v>0</v>
      </c>
      <c r="S196" s="26">
        <f>P196-Q196</f>
        <v>115988.23999999999</v>
      </c>
      <c r="T196" s="26"/>
      <c r="V196" s="40">
        <f t="shared" si="58"/>
        <v>0</v>
      </c>
      <c r="W196" s="40"/>
      <c r="X196" s="230">
        <v>0</v>
      </c>
      <c r="Y196" s="40"/>
    </row>
    <row r="197" spans="2:25" s="27" customFormat="1" ht="72.75" customHeight="1" x14ac:dyDescent="0.25">
      <c r="B197" s="12" t="str">
        <f>'1 lentelė'!$B199</f>
        <v>3.2.4.1.5</v>
      </c>
      <c r="C197" s="12" t="str">
        <f>'1 lentelė'!$C199</f>
        <v>R093305-330000-3227</v>
      </c>
      <c r="D197" s="12" t="str">
        <f>'1 lentelė'!$D199</f>
        <v>Lietuvos etnokosmologijos muziejaus paslaugų plėtros baigiamasis etapas</v>
      </c>
      <c r="E197" s="12" t="str">
        <f>'1 lentelė'!$E199</f>
        <v>BĮ Lietuvos Etnokosmologijos muziejus</v>
      </c>
      <c r="F197" s="29" t="s">
        <v>65</v>
      </c>
      <c r="G197" s="33" t="s">
        <v>1079</v>
      </c>
      <c r="H197" s="26">
        <f>'1 lentelė'!$P199</f>
        <v>4000000</v>
      </c>
      <c r="I197" s="26">
        <f>'1 lentelė'!$Q199</f>
        <v>3400000</v>
      </c>
      <c r="J197" s="26">
        <f>'1 lentelė'!$R199</f>
        <v>600000</v>
      </c>
      <c r="K197" s="26">
        <f>'1 lentelė'!$S199</f>
        <v>0</v>
      </c>
      <c r="L197" s="26">
        <v>4000000</v>
      </c>
      <c r="M197" s="26">
        <v>3400000</v>
      </c>
      <c r="N197" s="26">
        <v>600000</v>
      </c>
      <c r="O197" s="26">
        <v>0</v>
      </c>
      <c r="P197" s="340">
        <v>3604216.36</v>
      </c>
      <c r="Q197" s="26">
        <v>3094039.91</v>
      </c>
      <c r="R197" s="26">
        <v>0</v>
      </c>
      <c r="S197" s="340">
        <f>P197-Q197</f>
        <v>510176.44999999972</v>
      </c>
      <c r="T197" s="65"/>
      <c r="V197" s="40">
        <f t="shared" si="58"/>
        <v>0</v>
      </c>
      <c r="W197" s="40"/>
      <c r="X197" s="40">
        <v>0</v>
      </c>
      <c r="Y197" s="40"/>
    </row>
    <row r="198" spans="2:25" s="27" customFormat="1" ht="69" customHeight="1" x14ac:dyDescent="0.25">
      <c r="B198" s="12" t="str">
        <f>'1 lentelė'!$B200</f>
        <v>3.2.4.1.6</v>
      </c>
      <c r="C198" s="12" t="str">
        <f>'1 lentelė'!$C200</f>
        <v>R093305-330000-3228</v>
      </c>
      <c r="D198" s="12" t="str">
        <f>'1 lentelė'!$D200</f>
        <v>Utenos A. ir M. Miškinių viešosios bibliotekos modernizavimas</v>
      </c>
      <c r="E198" s="12" t="str">
        <f>'1 lentelė'!$E200</f>
        <v>Utenos A. ir M. Miškinių viešoji biblioteka</v>
      </c>
      <c r="F198" s="29" t="s">
        <v>65</v>
      </c>
      <c r="G198" s="33" t="s">
        <v>872</v>
      </c>
      <c r="H198" s="26">
        <f>'1 lentelė'!$P200</f>
        <v>30194.7</v>
      </c>
      <c r="I198" s="26">
        <f>'1 lentelė'!$Q200</f>
        <v>25664.75</v>
      </c>
      <c r="J198" s="26">
        <f>'1 lentelė'!$R200</f>
        <v>0</v>
      </c>
      <c r="K198" s="26">
        <f>'1 lentelė'!$S200</f>
        <v>4529.95</v>
      </c>
      <c r="L198" s="26">
        <v>30195</v>
      </c>
      <c r="M198" s="26">
        <v>25665</v>
      </c>
      <c r="N198" s="26">
        <v>0</v>
      </c>
      <c r="O198" s="26">
        <v>4530</v>
      </c>
      <c r="P198" s="26">
        <v>30194.7</v>
      </c>
      <c r="Q198" s="26">
        <v>25664.75</v>
      </c>
      <c r="R198" s="26">
        <v>0</v>
      </c>
      <c r="S198" s="26">
        <f>P198-Q198</f>
        <v>4529.9500000000007</v>
      </c>
      <c r="T198" s="26" t="s">
        <v>1452</v>
      </c>
      <c r="V198" s="40">
        <f t="shared" si="58"/>
        <v>0</v>
      </c>
      <c r="W198" s="40"/>
      <c r="X198" s="40">
        <v>0</v>
      </c>
      <c r="Y198" s="40"/>
    </row>
    <row r="199" spans="2:25" s="6" customFormat="1" ht="44.25" customHeight="1" x14ac:dyDescent="0.25">
      <c r="B199" s="42" t="str">
        <f>'1 lentelė'!$B201</f>
        <v>3.2.5</v>
      </c>
      <c r="C199" s="42"/>
      <c r="D199" s="42" t="str">
        <f>'1 lentelė'!$D201</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25">
      <c r="B200" s="44" t="str">
        <f>'1 lentelė'!$B202</f>
        <v>3.2.5.1</v>
      </c>
      <c r="C200" s="232" t="s">
        <v>666</v>
      </c>
      <c r="D200" s="76" t="str">
        <f>'1 lentelė'!$D202</f>
        <v>Priemonė: Paslaugų ir asmenų aptarnavimo kokybės gerinimas savivaldybėse</v>
      </c>
      <c r="E200" s="44"/>
      <c r="F200" s="44"/>
      <c r="G200" s="44"/>
      <c r="H200" s="263">
        <f>SUM(H201:H207)</f>
        <v>1095588.27</v>
      </c>
      <c r="I200" s="263">
        <f t="shared" ref="I200:S200" si="59">SUM(I201:I207)</f>
        <v>929674.5</v>
      </c>
      <c r="J200" s="263">
        <f t="shared" si="59"/>
        <v>0</v>
      </c>
      <c r="K200" s="263">
        <f t="shared" si="59"/>
        <v>165913.77000000002</v>
      </c>
      <c r="L200" s="263">
        <f t="shared" si="59"/>
        <v>1110040.57</v>
      </c>
      <c r="M200" s="263">
        <f t="shared" si="59"/>
        <v>941955.15999999992</v>
      </c>
      <c r="N200" s="263">
        <f t="shared" si="59"/>
        <v>0</v>
      </c>
      <c r="O200" s="263">
        <f t="shared" si="59"/>
        <v>168085.41</v>
      </c>
      <c r="P200" s="263">
        <f t="shared" si="59"/>
        <v>575667.24</v>
      </c>
      <c r="Q200" s="263">
        <f t="shared" si="59"/>
        <v>493673.14</v>
      </c>
      <c r="R200" s="263">
        <f t="shared" si="59"/>
        <v>0</v>
      </c>
      <c r="S200" s="263">
        <f t="shared" si="59"/>
        <v>81994.100000000006</v>
      </c>
      <c r="T200" s="29"/>
    </row>
    <row r="201" spans="2:25" s="27" customFormat="1" ht="87.75" customHeight="1" x14ac:dyDescent="0.25">
      <c r="B201" s="12" t="str">
        <f>'1 lentelė'!$B203</f>
        <v>3.2.5.1.1</v>
      </c>
      <c r="C201" s="12" t="str">
        <f>'1 lentelė'!$C203</f>
        <v>R099920-490000-3229</v>
      </c>
      <c r="D201" s="12" t="str">
        <f>'1 lentelė'!$D203</f>
        <v>Paslaugų ir asmenų aptarnavimo kokybės gerinimas Visagino  savivaldybėje</v>
      </c>
      <c r="E201" s="12" t="str">
        <f>'1 lentelė'!$E203</f>
        <v>Visagino savivaldybės administracija</v>
      </c>
      <c r="F201" s="33" t="s">
        <v>66</v>
      </c>
      <c r="G201" s="33" t="s">
        <v>1079</v>
      </c>
      <c r="H201" s="26">
        <f>'1 lentelė'!$P203</f>
        <v>188236</v>
      </c>
      <c r="I201" s="26">
        <f>'1 lentelė'!$Q203</f>
        <v>160000</v>
      </c>
      <c r="J201" s="26">
        <f>'1 lentelė'!$R203</f>
        <v>0</v>
      </c>
      <c r="K201" s="26">
        <f>'1 lentelė'!$S203</f>
        <v>28236</v>
      </c>
      <c r="L201" s="26">
        <v>188236</v>
      </c>
      <c r="M201" s="26">
        <v>160000</v>
      </c>
      <c r="N201" s="26">
        <v>0</v>
      </c>
      <c r="O201" s="26">
        <v>28236</v>
      </c>
      <c r="P201" s="26">
        <v>15330.97</v>
      </c>
      <c r="Q201" s="26">
        <v>13570.46</v>
      </c>
      <c r="R201" s="26">
        <v>0</v>
      </c>
      <c r="S201" s="26">
        <f t="shared" ref="S201:S206" si="60">P201-Q201</f>
        <v>1760.5100000000002</v>
      </c>
      <c r="T201" s="26"/>
      <c r="V201" s="40">
        <f>L201-M201-N201-O201</f>
        <v>0</v>
      </c>
    </row>
    <row r="202" spans="2:25" s="27" customFormat="1" ht="87" customHeight="1" x14ac:dyDescent="0.25">
      <c r="B202" s="12" t="str">
        <f>'1 lentelė'!$B204</f>
        <v>3.2.5.1.2</v>
      </c>
      <c r="C202" s="12" t="str">
        <f>'1 lentelė'!$C204</f>
        <v>R099920-490000-3230</v>
      </c>
      <c r="D202" s="12" t="str">
        <f>'1 lentelė'!$D204</f>
        <v>Paslaugų ir asmenų aptarnavimo kokybės gerinimas Molėtų rajono savivaldybėje</v>
      </c>
      <c r="E202" s="12" t="str">
        <f>'1 lentelė'!$E204</f>
        <v>Molėtų rajono savivaldybės administracija</v>
      </c>
      <c r="F202" s="33" t="s">
        <v>66</v>
      </c>
      <c r="G202" s="33" t="s">
        <v>1079</v>
      </c>
      <c r="H202" s="26">
        <f>'1 lentelė'!$P204</f>
        <v>186665</v>
      </c>
      <c r="I202" s="26">
        <f>'1 lentelė'!$Q204</f>
        <v>158665</v>
      </c>
      <c r="J202" s="26">
        <f>'1 lentelė'!$R204</f>
        <v>0</v>
      </c>
      <c r="K202" s="26">
        <f>'1 lentelė'!$S204</f>
        <v>28000</v>
      </c>
      <c r="L202" s="26">
        <v>186665</v>
      </c>
      <c r="M202" s="26">
        <v>158665</v>
      </c>
      <c r="N202" s="26">
        <v>0</v>
      </c>
      <c r="O202" s="26">
        <v>28000</v>
      </c>
      <c r="P202" s="26">
        <v>128490.45</v>
      </c>
      <c r="Q202" s="26">
        <v>111603.08</v>
      </c>
      <c r="R202" s="26">
        <v>0</v>
      </c>
      <c r="S202" s="26">
        <f t="shared" si="60"/>
        <v>16887.369999999995</v>
      </c>
      <c r="T202" s="26"/>
      <c r="V202" s="40">
        <f t="shared" ref="V202:V207" si="61">L202-M202-N202-O202</f>
        <v>0</v>
      </c>
    </row>
    <row r="203" spans="2:25" s="27" customFormat="1" ht="83.25" customHeight="1" x14ac:dyDescent="0.25">
      <c r="B203" s="12" t="str">
        <f>'1 lentelė'!$B205</f>
        <v xml:space="preserve"> 3.2.5.1.3</v>
      </c>
      <c r="C203" s="12" t="str">
        <f>'1 lentelė'!$C205</f>
        <v>R099920-490000-3231</v>
      </c>
      <c r="D203" s="12" t="str">
        <f>'1 lentelė'!$D205</f>
        <v>Paslaugų ir asmenų aptarnavimo kokybės gerinimas Zarasų rajono savivaldybėje</v>
      </c>
      <c r="E203" s="12" t="str">
        <f>'1 lentelė'!$E205</f>
        <v>Zarasų rajono savivaldybės administracija</v>
      </c>
      <c r="F203" s="33" t="s">
        <v>66</v>
      </c>
      <c r="G203" s="33" t="s">
        <v>872</v>
      </c>
      <c r="H203" s="26">
        <f>'1 lentelė'!$P205</f>
        <v>145997.07</v>
      </c>
      <c r="I203" s="26">
        <f>'1 lentelė'!$Q205</f>
        <v>124097.51</v>
      </c>
      <c r="J203" s="26">
        <f>'1 lentelė'!$R205</f>
        <v>0</v>
      </c>
      <c r="K203" s="26">
        <f>'1 lentelė'!$S205</f>
        <v>21899.560000000012</v>
      </c>
      <c r="L203" s="26">
        <v>154414.51999999999</v>
      </c>
      <c r="M203" s="26">
        <v>131252.34</v>
      </c>
      <c r="N203" s="26">
        <v>0</v>
      </c>
      <c r="O203" s="26">
        <v>23162.18</v>
      </c>
      <c r="P203" s="26">
        <v>145997.07</v>
      </c>
      <c r="Q203" s="26">
        <v>124097.51</v>
      </c>
      <c r="R203" s="26">
        <v>0</v>
      </c>
      <c r="S203" s="26">
        <f t="shared" si="60"/>
        <v>21899.560000000012</v>
      </c>
      <c r="T203" s="26" t="s">
        <v>1511</v>
      </c>
      <c r="V203" s="40">
        <f t="shared" si="61"/>
        <v>0</v>
      </c>
    </row>
    <row r="204" spans="2:25" s="27" customFormat="1" ht="105" customHeight="1" x14ac:dyDescent="0.25">
      <c r="B204" s="12" t="str">
        <f>'1 lentelė'!$B206</f>
        <v>3.2.5.1.4</v>
      </c>
      <c r="C204" s="12" t="str">
        <f>'1 lentelė'!$C206</f>
        <v>R099920-490000-3232</v>
      </c>
      <c r="D204" s="12" t="str">
        <f>'1 lentelė'!$D206</f>
        <v>Paslaugų ir asmenų aptarnavimo kokybės gerinimas Utenos rajono savivaldybėje, I etapas</v>
      </c>
      <c r="E204" s="12" t="str">
        <f>'1 lentelė'!$E206</f>
        <v>VšĮ "Utenos verslo informacijos centras"</v>
      </c>
      <c r="F204" s="33" t="s">
        <v>66</v>
      </c>
      <c r="G204" s="33" t="s">
        <v>872</v>
      </c>
      <c r="H204" s="26">
        <f>'1 lentelė'!$P206</f>
        <v>110338.66</v>
      </c>
      <c r="I204" s="26">
        <f>'1 lentelė'!$Q206</f>
        <v>93718.52</v>
      </c>
      <c r="J204" s="26">
        <f>'1 lentelė'!$R206</f>
        <v>0</v>
      </c>
      <c r="K204" s="26">
        <f>'1 lentelė'!$S206</f>
        <v>16620.14</v>
      </c>
      <c r="L204" s="26">
        <v>116373.51000000001</v>
      </c>
      <c r="M204" s="26">
        <v>98844.35</v>
      </c>
      <c r="N204" s="26">
        <v>0</v>
      </c>
      <c r="O204" s="26">
        <v>17529.16</v>
      </c>
      <c r="P204" s="26">
        <v>110338.66</v>
      </c>
      <c r="Q204" s="26">
        <v>93718.52</v>
      </c>
      <c r="R204" s="26">
        <v>0</v>
      </c>
      <c r="S204" s="26">
        <f t="shared" si="60"/>
        <v>16620.14</v>
      </c>
      <c r="T204" s="26" t="s">
        <v>1512</v>
      </c>
      <c r="V204" s="40">
        <f t="shared" si="61"/>
        <v>0</v>
      </c>
    </row>
    <row r="205" spans="2:25" s="27" customFormat="1" ht="89.25" customHeight="1" x14ac:dyDescent="0.25">
      <c r="B205" s="12" t="str">
        <f>'1 lentelė'!$B207</f>
        <v xml:space="preserve"> 3.2.5.1.5</v>
      </c>
      <c r="C205" s="12" t="str">
        <f>'1 lentelė'!$C207</f>
        <v>R099920-490000-3233</v>
      </c>
      <c r="D205" s="12" t="str">
        <f>'1 lentelė'!$D207</f>
        <v>Paslaugų ir asmenų aptarnavimo kokybės gerinimas Anykščių savivaldybėje</v>
      </c>
      <c r="E205" s="12" t="str">
        <f>'1 lentelė'!$E207</f>
        <v>Anykščių rajono savivaldybės administracija</v>
      </c>
      <c r="F205" s="33" t="s">
        <v>66</v>
      </c>
      <c r="G205" s="33" t="s">
        <v>1079</v>
      </c>
      <c r="H205" s="26">
        <f>'1 lentelė'!$P207</f>
        <v>176470.59</v>
      </c>
      <c r="I205" s="26">
        <f>'1 lentelė'!$Q207</f>
        <v>150000</v>
      </c>
      <c r="J205" s="26">
        <f>'1 lentelė'!$R207</f>
        <v>0</v>
      </c>
      <c r="K205" s="26">
        <f>'1 lentelė'!$S207</f>
        <v>26470.589999999997</v>
      </c>
      <c r="L205" s="26">
        <v>176470.59</v>
      </c>
      <c r="M205" s="26">
        <v>150000</v>
      </c>
      <c r="N205" s="26">
        <v>0</v>
      </c>
      <c r="O205" s="26">
        <v>26470.59</v>
      </c>
      <c r="P205" s="26">
        <v>69839.86</v>
      </c>
      <c r="Q205" s="26">
        <v>60863.88</v>
      </c>
      <c r="R205" s="26">
        <v>0</v>
      </c>
      <c r="S205" s="26">
        <f t="shared" si="60"/>
        <v>8975.9800000000032</v>
      </c>
      <c r="T205" s="65"/>
      <c r="V205" s="40">
        <f t="shared" si="61"/>
        <v>0</v>
      </c>
    </row>
    <row r="206" spans="2:25" s="27" customFormat="1" ht="88.5" customHeight="1" x14ac:dyDescent="0.25">
      <c r="B206" s="12" t="str">
        <f>'1 lentelė'!$B208</f>
        <v xml:space="preserve"> 3.2.5.1.6</v>
      </c>
      <c r="C206" s="12" t="str">
        <f>'1 lentelė'!$C208</f>
        <v>R099920-490000-3234</v>
      </c>
      <c r="D206" s="12" t="str">
        <f>'1 lentelė'!$D208</f>
        <v>Paslaugų ir asmenų aptarnavimo kokybės gerinimas Ignalinos rajono savivaldybėje</v>
      </c>
      <c r="E206" s="12" t="str">
        <f>'1 lentelė'!$E208</f>
        <v>Ignalinos rajono savivaldybės administracija</v>
      </c>
      <c r="F206" s="33" t="s">
        <v>66</v>
      </c>
      <c r="G206" s="33" t="s">
        <v>1079</v>
      </c>
      <c r="H206" s="23">
        <f>'1 lentelė'!$P208</f>
        <v>157956.47</v>
      </c>
      <c r="I206" s="23">
        <f>'1 lentelė'!$Q208</f>
        <v>134262.99</v>
      </c>
      <c r="J206" s="23">
        <f>'1 lentelė'!$R208</f>
        <v>0</v>
      </c>
      <c r="K206" s="23">
        <f>'1 lentelė'!$S208</f>
        <v>23693.48000000001</v>
      </c>
      <c r="L206" s="23">
        <v>157956.47</v>
      </c>
      <c r="M206" s="23">
        <v>134262.99</v>
      </c>
      <c r="N206" s="23">
        <v>0</v>
      </c>
      <c r="O206" s="23">
        <v>23693.48</v>
      </c>
      <c r="P206" s="23">
        <v>105670.23</v>
      </c>
      <c r="Q206" s="23">
        <v>89819.69</v>
      </c>
      <c r="R206" s="23">
        <v>0</v>
      </c>
      <c r="S206" s="23">
        <f t="shared" si="60"/>
        <v>15850.539999999994</v>
      </c>
      <c r="T206" s="23"/>
      <c r="V206" s="38">
        <f t="shared" si="61"/>
        <v>0</v>
      </c>
    </row>
    <row r="207" spans="2:25" s="6" customFormat="1" ht="99" customHeight="1" x14ac:dyDescent="0.25">
      <c r="B207" s="12" t="s">
        <v>1177</v>
      </c>
      <c r="C207" s="12" t="s">
        <v>1178</v>
      </c>
      <c r="D207" s="12" t="s">
        <v>1179</v>
      </c>
      <c r="E207" s="12" t="s">
        <v>152</v>
      </c>
      <c r="F207" s="33" t="s">
        <v>66</v>
      </c>
      <c r="G207" s="33" t="s">
        <v>1079</v>
      </c>
      <c r="H207" s="23">
        <f>'1 lentelė'!P209</f>
        <v>129924.48</v>
      </c>
      <c r="I207" s="23">
        <f>'1 lentelė'!Q209</f>
        <v>108930.48</v>
      </c>
      <c r="J207" s="23">
        <v>0</v>
      </c>
      <c r="K207" s="23">
        <f>H207-I207</f>
        <v>20994</v>
      </c>
      <c r="L207" s="23">
        <v>129924.48</v>
      </c>
      <c r="M207" s="23">
        <v>108930.48</v>
      </c>
      <c r="N207" s="23">
        <v>0</v>
      </c>
      <c r="O207" s="23">
        <v>20994</v>
      </c>
      <c r="P207" s="23">
        <v>0</v>
      </c>
      <c r="Q207" s="23">
        <v>0</v>
      </c>
      <c r="R207" s="23">
        <v>0</v>
      </c>
      <c r="S207" s="23">
        <v>0</v>
      </c>
      <c r="T207" s="23"/>
      <c r="V207" s="38">
        <f t="shared" si="61"/>
        <v>0</v>
      </c>
    </row>
    <row r="208" spans="2:25" s="79" customFormat="1" x14ac:dyDescent="0.25">
      <c r="B208" s="89"/>
      <c r="H208" s="81"/>
      <c r="I208" s="81"/>
      <c r="J208" s="81"/>
      <c r="K208" s="81"/>
      <c r="L208" s="90"/>
      <c r="M208" s="90"/>
      <c r="N208" s="90"/>
      <c r="O208" s="90"/>
      <c r="P208" s="90"/>
      <c r="Q208" s="90"/>
      <c r="R208" s="90"/>
      <c r="S208" s="90"/>
      <c r="T208" s="90"/>
    </row>
    <row r="209" spans="2:21" ht="15.75" customHeight="1" x14ac:dyDescent="0.25">
      <c r="B209" s="91" t="s">
        <v>884</v>
      </c>
      <c r="C209" s="92"/>
      <c r="D209" s="92"/>
      <c r="E209" s="92"/>
      <c r="F209" s="92"/>
    </row>
    <row r="210" spans="2:21" x14ac:dyDescent="0.25">
      <c r="B210" s="93" t="s">
        <v>885</v>
      </c>
    </row>
    <row r="211" spans="2:21" x14ac:dyDescent="0.25">
      <c r="B211" s="94"/>
      <c r="C211" s="95"/>
      <c r="D211" s="95"/>
      <c r="E211" s="95"/>
      <c r="F211" s="95"/>
      <c r="G211" s="95"/>
      <c r="H211" s="95"/>
      <c r="I211" s="95"/>
      <c r="J211" s="95"/>
      <c r="K211" s="95"/>
    </row>
    <row r="212" spans="2:21" x14ac:dyDescent="0.25">
      <c r="B212" s="368"/>
      <c r="C212" s="369"/>
      <c r="D212" s="369"/>
      <c r="E212" s="369"/>
      <c r="F212" s="369"/>
      <c r="G212" s="369"/>
      <c r="H212" s="369"/>
      <c r="I212" s="369"/>
      <c r="J212" s="369"/>
      <c r="K212" s="369"/>
    </row>
    <row r="213" spans="2:21" x14ac:dyDescent="0.25">
      <c r="B213" s="94"/>
      <c r="C213" s="95"/>
      <c r="D213" s="95"/>
      <c r="E213" s="95"/>
      <c r="F213" s="95"/>
      <c r="G213" s="95"/>
      <c r="H213" s="95"/>
      <c r="I213" s="95"/>
      <c r="J213" s="95"/>
      <c r="K213" s="95"/>
    </row>
    <row r="214" spans="2:21" x14ac:dyDescent="0.25">
      <c r="B214" s="94"/>
      <c r="C214" s="95"/>
      <c r="D214" s="95"/>
      <c r="E214" s="95"/>
      <c r="F214" s="95"/>
      <c r="G214" s="95"/>
      <c r="H214" s="95"/>
      <c r="I214" s="95"/>
      <c r="J214" s="95"/>
      <c r="K214" s="95"/>
    </row>
    <row r="215" spans="2:21" x14ac:dyDescent="0.25">
      <c r="B215" s="368"/>
      <c r="C215" s="369"/>
      <c r="D215" s="369"/>
      <c r="E215" s="369"/>
      <c r="F215" s="369"/>
      <c r="G215" s="369"/>
      <c r="H215" s="369"/>
      <c r="I215" s="369"/>
      <c r="J215" s="369"/>
      <c r="K215" s="369"/>
    </row>
    <row r="216" spans="2:21" x14ac:dyDescent="0.25">
      <c r="B216" s="94"/>
    </row>
    <row r="217" spans="2:21" x14ac:dyDescent="0.25">
      <c r="B217" s="94"/>
    </row>
    <row r="218" spans="2:21" x14ac:dyDescent="0.25">
      <c r="B218" s="264" t="s">
        <v>859</v>
      </c>
      <c r="C218" s="87"/>
      <c r="D218" s="87"/>
      <c r="E218" s="87"/>
      <c r="F218" s="87"/>
      <c r="G218" s="87"/>
      <c r="H218" s="265">
        <f>'1 lentelė'!$P$210</f>
        <v>0</v>
      </c>
      <c r="I218" s="265">
        <f>'1 lentelė'!$Q$210</f>
        <v>0</v>
      </c>
      <c r="J218" s="265">
        <f>'1 lentelė'!$R$210</f>
        <v>0</v>
      </c>
      <c r="K218" s="265">
        <f>'1 lentelė'!$S$210</f>
        <v>0</v>
      </c>
      <c r="L218" s="265">
        <f t="shared" ref="L218:T218" si="62">SUBTOTAL(9,L9:L207)</f>
        <v>210079164.90000001</v>
      </c>
      <c r="M218" s="265">
        <f t="shared" si="62"/>
        <v>156332302.04999995</v>
      </c>
      <c r="N218" s="265">
        <f t="shared" si="62"/>
        <v>8184802.1100000013</v>
      </c>
      <c r="O218" s="265">
        <f t="shared" si="62"/>
        <v>36568494.240000017</v>
      </c>
      <c r="P218" s="265">
        <f t="shared" si="62"/>
        <v>185155722.23000008</v>
      </c>
      <c r="Q218" s="265">
        <f t="shared" si="62"/>
        <v>115952233.99949995</v>
      </c>
      <c r="R218" s="265">
        <f t="shared" si="62"/>
        <v>4440139.4804999977</v>
      </c>
      <c r="S218" s="265">
        <f t="shared" si="62"/>
        <v>64763348.75000003</v>
      </c>
      <c r="T218" s="265">
        <f t="shared" si="62"/>
        <v>0</v>
      </c>
      <c r="U218" s="79"/>
    </row>
    <row r="219" spans="2:21" x14ac:dyDescent="0.25">
      <c r="B219" s="94"/>
    </row>
    <row r="220" spans="2:21" x14ac:dyDescent="0.25">
      <c r="B220" s="94"/>
    </row>
    <row r="221" spans="2:21" x14ac:dyDescent="0.25">
      <c r="B221" s="368"/>
      <c r="C221" s="369"/>
      <c r="D221" s="369"/>
      <c r="E221" s="369"/>
      <c r="F221" s="369"/>
      <c r="G221" s="369"/>
      <c r="H221" s="369"/>
      <c r="I221" s="369"/>
      <c r="J221" s="369"/>
      <c r="K221" s="369"/>
    </row>
    <row r="222" spans="2:21" x14ac:dyDescent="0.25">
      <c r="B222" s="368"/>
      <c r="C222" s="369"/>
      <c r="D222" s="369"/>
      <c r="E222" s="369"/>
      <c r="F222" s="369"/>
      <c r="G222" s="369"/>
      <c r="H222" s="369"/>
      <c r="I222" s="369"/>
      <c r="J222" s="369"/>
      <c r="K222" s="369"/>
    </row>
    <row r="223" spans="2:21" x14ac:dyDescent="0.25">
      <c r="B223" s="368"/>
      <c r="C223" s="369"/>
      <c r="D223" s="369"/>
      <c r="E223" s="369"/>
      <c r="F223" s="369"/>
      <c r="G223" s="369"/>
      <c r="H223" s="369"/>
      <c r="I223" s="369"/>
      <c r="J223" s="369"/>
      <c r="K223" s="369"/>
    </row>
    <row r="224" spans="2:21" x14ac:dyDescent="0.25">
      <c r="B224" s="368"/>
      <c r="C224" s="369"/>
      <c r="D224" s="369"/>
      <c r="E224" s="369"/>
      <c r="F224" s="369"/>
      <c r="G224" s="369"/>
      <c r="H224" s="369"/>
      <c r="I224" s="369"/>
      <c r="J224" s="369"/>
      <c r="K224" s="369"/>
    </row>
    <row r="225" spans="2:11" x14ac:dyDescent="0.25">
      <c r="B225" s="368"/>
      <c r="C225" s="369"/>
      <c r="D225" s="369"/>
      <c r="E225" s="369"/>
      <c r="F225" s="369"/>
      <c r="G225" s="369"/>
      <c r="H225" s="369"/>
      <c r="I225" s="369"/>
      <c r="J225" s="369"/>
      <c r="K225" s="369"/>
    </row>
    <row r="226" spans="2:11" x14ac:dyDescent="0.25">
      <c r="B226" s="368"/>
      <c r="C226" s="369"/>
      <c r="D226" s="369"/>
      <c r="E226" s="369"/>
      <c r="F226" s="369"/>
      <c r="G226" s="369"/>
      <c r="H226" s="369"/>
      <c r="I226" s="369"/>
      <c r="J226" s="369"/>
      <c r="K226" s="369"/>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21" customWidth="1"/>
    <col min="10" max="10" width="9.140625" style="21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14" customWidth="1"/>
    <col min="19" max="19" width="9.140625" style="216"/>
    <col min="21" max="21" width="15" style="217" customWidth="1"/>
    <col min="25" max="25" width="10.28515625" customWidth="1"/>
  </cols>
  <sheetData>
    <row r="1" spans="1:25" x14ac:dyDescent="0.25">
      <c r="E1" s="174" t="s">
        <v>1167</v>
      </c>
      <c r="G1" s="212" t="s">
        <v>1159</v>
      </c>
      <c r="H1" s="212" t="s">
        <v>1160</v>
      </c>
      <c r="I1" s="220" t="s">
        <v>1166</v>
      </c>
      <c r="J1" s="218" t="s">
        <v>1160</v>
      </c>
      <c r="K1" s="212" t="s">
        <v>1162</v>
      </c>
      <c r="L1" s="212" t="s">
        <v>1161</v>
      </c>
      <c r="M1" s="212" t="s">
        <v>879</v>
      </c>
      <c r="P1" s="212" t="s">
        <v>1163</v>
      </c>
      <c r="R1" s="213" t="s">
        <v>1159</v>
      </c>
      <c r="S1" s="215" t="s">
        <v>1160</v>
      </c>
      <c r="U1" s="217" t="s">
        <v>1164</v>
      </c>
      <c r="V1" t="s">
        <v>1160</v>
      </c>
      <c r="W1" t="s">
        <v>1162</v>
      </c>
      <c r="X1" t="s">
        <v>1165</v>
      </c>
      <c r="Y1" t="s">
        <v>879</v>
      </c>
    </row>
    <row r="2" spans="1:25" x14ac:dyDescent="0.25">
      <c r="A2" t="s">
        <v>936</v>
      </c>
      <c r="B2" t="s">
        <v>233</v>
      </c>
      <c r="C2" t="s">
        <v>1078</v>
      </c>
      <c r="D2" t="s">
        <v>1079</v>
      </c>
      <c r="E2">
        <v>226399.73</v>
      </c>
      <c r="F2">
        <v>165122</v>
      </c>
      <c r="G2">
        <v>165122</v>
      </c>
      <c r="H2">
        <v>0</v>
      </c>
      <c r="I2" s="221">
        <v>61277.73</v>
      </c>
      <c r="J2" s="219">
        <v>27317.77</v>
      </c>
      <c r="K2">
        <v>33959.96</v>
      </c>
      <c r="L2">
        <v>0</v>
      </c>
      <c r="M2">
        <v>0</v>
      </c>
      <c r="O2">
        <v>129965.61</v>
      </c>
      <c r="P2">
        <v>129965.61</v>
      </c>
      <c r="Q2">
        <v>108051.33</v>
      </c>
      <c r="R2" s="214">
        <v>108051.33</v>
      </c>
      <c r="S2" s="216">
        <v>0</v>
      </c>
      <c r="T2">
        <v>0</v>
      </c>
      <c r="U2" s="217">
        <v>21914.28</v>
      </c>
      <c r="V2">
        <v>9769.44</v>
      </c>
      <c r="W2">
        <v>12144.84</v>
      </c>
      <c r="X2">
        <v>0</v>
      </c>
      <c r="Y2">
        <v>0</v>
      </c>
    </row>
    <row r="3" spans="1:25" x14ac:dyDescent="0.25">
      <c r="A3" t="s">
        <v>938</v>
      </c>
      <c r="B3" t="s">
        <v>1080</v>
      </c>
      <c r="C3" t="s">
        <v>1081</v>
      </c>
      <c r="D3" t="s">
        <v>1079</v>
      </c>
      <c r="E3">
        <v>124320.76</v>
      </c>
      <c r="F3">
        <v>71285</v>
      </c>
      <c r="G3">
        <v>71285</v>
      </c>
      <c r="H3">
        <v>0</v>
      </c>
      <c r="I3" s="221">
        <v>53035.76</v>
      </c>
      <c r="J3" s="219">
        <v>0</v>
      </c>
      <c r="K3">
        <v>53035.76</v>
      </c>
      <c r="L3">
        <v>0</v>
      </c>
      <c r="M3">
        <v>0</v>
      </c>
      <c r="O3">
        <v>21000</v>
      </c>
      <c r="P3">
        <v>21000</v>
      </c>
      <c r="Q3">
        <v>21000</v>
      </c>
      <c r="R3" s="214">
        <v>21000</v>
      </c>
      <c r="S3" s="216">
        <v>0</v>
      </c>
      <c r="T3">
        <v>0</v>
      </c>
      <c r="U3" s="217">
        <v>0</v>
      </c>
      <c r="V3">
        <v>0</v>
      </c>
      <c r="W3">
        <v>0</v>
      </c>
      <c r="X3">
        <v>0</v>
      </c>
      <c r="Y3">
        <v>0</v>
      </c>
    </row>
    <row r="4" spans="1:25" x14ac:dyDescent="0.25">
      <c r="A4" t="s">
        <v>937</v>
      </c>
      <c r="B4" t="s">
        <v>1082</v>
      </c>
      <c r="C4" t="s">
        <v>1083</v>
      </c>
      <c r="D4" t="s">
        <v>1079</v>
      </c>
      <c r="E4">
        <v>206061.75</v>
      </c>
      <c r="F4">
        <v>71645</v>
      </c>
      <c r="G4">
        <v>71645</v>
      </c>
      <c r="H4">
        <v>0</v>
      </c>
      <c r="I4" s="221">
        <v>134416.75</v>
      </c>
      <c r="J4" s="219">
        <v>0</v>
      </c>
      <c r="K4">
        <v>134416.75</v>
      </c>
      <c r="L4">
        <v>0</v>
      </c>
      <c r="M4">
        <v>0</v>
      </c>
      <c r="O4">
        <v>21000</v>
      </c>
      <c r="P4">
        <v>21000</v>
      </c>
      <c r="Q4">
        <v>21000</v>
      </c>
      <c r="R4" s="214">
        <v>21000</v>
      </c>
      <c r="S4" s="216">
        <v>0</v>
      </c>
      <c r="T4">
        <v>0</v>
      </c>
      <c r="U4" s="217">
        <v>0</v>
      </c>
      <c r="V4">
        <v>0</v>
      </c>
      <c r="W4">
        <v>0</v>
      </c>
      <c r="X4">
        <v>0</v>
      </c>
      <c r="Y4">
        <v>0</v>
      </c>
    </row>
    <row r="5" spans="1:25" x14ac:dyDescent="0.25">
      <c r="A5" t="s">
        <v>955</v>
      </c>
      <c r="B5" t="s">
        <v>354</v>
      </c>
      <c r="C5" t="s">
        <v>1084</v>
      </c>
      <c r="D5" t="s">
        <v>1079</v>
      </c>
      <c r="E5">
        <v>1018412.87</v>
      </c>
      <c r="F5">
        <v>865650.94</v>
      </c>
      <c r="G5">
        <v>865650.94</v>
      </c>
      <c r="H5">
        <v>0</v>
      </c>
      <c r="I5" s="221">
        <v>152761.93</v>
      </c>
      <c r="J5" s="219">
        <v>0</v>
      </c>
      <c r="K5">
        <v>0</v>
      </c>
      <c r="L5">
        <v>0</v>
      </c>
      <c r="M5">
        <v>152761.93</v>
      </c>
      <c r="O5">
        <v>371916.4</v>
      </c>
      <c r="P5">
        <v>316128.93</v>
      </c>
      <c r="Q5">
        <v>316128.93</v>
      </c>
      <c r="R5" s="214">
        <v>316128.93</v>
      </c>
      <c r="S5" s="216">
        <v>0</v>
      </c>
      <c r="T5">
        <v>0</v>
      </c>
      <c r="U5" s="217">
        <v>53003.28</v>
      </c>
      <c r="V5">
        <v>0</v>
      </c>
      <c r="W5">
        <v>0</v>
      </c>
      <c r="X5">
        <v>0</v>
      </c>
      <c r="Y5">
        <v>53003.28</v>
      </c>
    </row>
    <row r="6" spans="1:25" x14ac:dyDescent="0.25">
      <c r="A6" t="s">
        <v>956</v>
      </c>
      <c r="B6" t="s">
        <v>359</v>
      </c>
      <c r="C6" t="s">
        <v>1085</v>
      </c>
      <c r="D6" t="s">
        <v>1079</v>
      </c>
      <c r="E6">
        <v>1035219</v>
      </c>
      <c r="F6">
        <v>879936.15</v>
      </c>
      <c r="G6">
        <v>879936.15</v>
      </c>
      <c r="H6">
        <v>0</v>
      </c>
      <c r="I6" s="221">
        <v>155282.85</v>
      </c>
      <c r="J6" s="219">
        <v>0</v>
      </c>
      <c r="K6">
        <v>155282.85</v>
      </c>
      <c r="L6">
        <v>0</v>
      </c>
      <c r="M6">
        <v>0</v>
      </c>
      <c r="O6">
        <v>631422.28</v>
      </c>
      <c r="P6">
        <v>631422.28</v>
      </c>
      <c r="Q6">
        <v>536708.93999999994</v>
      </c>
      <c r="R6" s="214">
        <v>536708.93999999994</v>
      </c>
      <c r="S6" s="216">
        <v>0</v>
      </c>
      <c r="T6">
        <v>0</v>
      </c>
      <c r="U6" s="217">
        <v>94713.34</v>
      </c>
      <c r="V6">
        <v>0</v>
      </c>
      <c r="W6">
        <v>94713.34</v>
      </c>
      <c r="X6">
        <v>0</v>
      </c>
      <c r="Y6">
        <v>0</v>
      </c>
    </row>
    <row r="7" spans="1:25" x14ac:dyDescent="0.25">
      <c r="A7" t="s">
        <v>957</v>
      </c>
      <c r="B7" t="s">
        <v>366</v>
      </c>
      <c r="C7" t="s">
        <v>1086</v>
      </c>
      <c r="D7" t="s">
        <v>1079</v>
      </c>
      <c r="E7">
        <v>670569.16</v>
      </c>
      <c r="F7">
        <v>504770</v>
      </c>
      <c r="G7">
        <v>504770</v>
      </c>
      <c r="H7">
        <v>0</v>
      </c>
      <c r="I7" s="221">
        <v>165799.16</v>
      </c>
      <c r="J7" s="219">
        <v>0</v>
      </c>
      <c r="K7">
        <v>165799.16</v>
      </c>
      <c r="L7">
        <v>0</v>
      </c>
      <c r="M7">
        <v>0</v>
      </c>
      <c r="O7">
        <v>410114.99</v>
      </c>
      <c r="P7">
        <v>410114.99</v>
      </c>
      <c r="Q7">
        <v>345801.2</v>
      </c>
      <c r="R7" s="214">
        <v>345801.2</v>
      </c>
      <c r="S7" s="216">
        <v>0</v>
      </c>
      <c r="T7">
        <v>0</v>
      </c>
      <c r="U7" s="217">
        <v>64313.79</v>
      </c>
      <c r="V7">
        <v>0</v>
      </c>
      <c r="W7">
        <v>64313.79</v>
      </c>
      <c r="X7">
        <v>0</v>
      </c>
      <c r="Y7">
        <v>0</v>
      </c>
    </row>
    <row r="8" spans="1:25" x14ac:dyDescent="0.25">
      <c r="A8" t="s">
        <v>959</v>
      </c>
      <c r="B8" t="s">
        <v>375</v>
      </c>
      <c r="C8" t="s">
        <v>1087</v>
      </c>
      <c r="D8" t="s">
        <v>1079</v>
      </c>
      <c r="E8">
        <v>607406.14</v>
      </c>
      <c r="F8">
        <v>516295.21</v>
      </c>
      <c r="G8">
        <v>516295.21</v>
      </c>
      <c r="H8">
        <v>0</v>
      </c>
      <c r="I8" s="221">
        <v>91110.93</v>
      </c>
      <c r="J8" s="219">
        <v>0</v>
      </c>
      <c r="K8">
        <v>84842.880000000005</v>
      </c>
      <c r="L8">
        <v>6268.05</v>
      </c>
      <c r="M8">
        <v>0</v>
      </c>
      <c r="O8">
        <v>516057.38</v>
      </c>
      <c r="P8">
        <v>516057.38</v>
      </c>
      <c r="Q8">
        <v>462015.86</v>
      </c>
      <c r="R8" s="214">
        <v>462015.86</v>
      </c>
      <c r="S8" s="216">
        <v>0</v>
      </c>
      <c r="T8">
        <v>0</v>
      </c>
      <c r="U8" s="217">
        <v>54041.52</v>
      </c>
      <c r="V8">
        <v>0</v>
      </c>
      <c r="W8">
        <v>50452.05</v>
      </c>
      <c r="X8">
        <v>3589.47</v>
      </c>
      <c r="Y8">
        <v>0</v>
      </c>
    </row>
    <row r="9" spans="1:25" x14ac:dyDescent="0.25">
      <c r="A9" t="s">
        <v>959</v>
      </c>
      <c r="B9" t="s">
        <v>375</v>
      </c>
      <c r="C9" t="s">
        <v>1087</v>
      </c>
      <c r="D9" t="s">
        <v>1079</v>
      </c>
      <c r="N9" t="s">
        <v>1088</v>
      </c>
      <c r="O9">
        <v>0</v>
      </c>
      <c r="P9">
        <v>0</v>
      </c>
      <c r="Q9">
        <v>0</v>
      </c>
      <c r="R9" s="214">
        <v>0</v>
      </c>
      <c r="S9" s="216">
        <v>0</v>
      </c>
      <c r="T9">
        <v>0</v>
      </c>
      <c r="U9" s="217">
        <v>-3772.67</v>
      </c>
      <c r="V9">
        <v>0</v>
      </c>
      <c r="W9">
        <v>-3522.09</v>
      </c>
      <c r="X9">
        <v>-250.58</v>
      </c>
      <c r="Y9">
        <v>0</v>
      </c>
    </row>
    <row r="10" spans="1:25" x14ac:dyDescent="0.25">
      <c r="A10" t="s">
        <v>959</v>
      </c>
      <c r="B10" t="s">
        <v>375</v>
      </c>
      <c r="C10" t="s">
        <v>1087</v>
      </c>
      <c r="D10" t="s">
        <v>1079</v>
      </c>
      <c r="N10" t="s">
        <v>1088</v>
      </c>
      <c r="O10">
        <v>-22579.35</v>
      </c>
      <c r="P10">
        <v>-22579.35</v>
      </c>
      <c r="Q10">
        <v>0</v>
      </c>
      <c r="R10" s="214">
        <v>0</v>
      </c>
      <c r="S10" s="216">
        <v>0</v>
      </c>
      <c r="T10">
        <v>0</v>
      </c>
      <c r="U10" s="217">
        <v>0</v>
      </c>
      <c r="V10">
        <v>0</v>
      </c>
      <c r="W10">
        <v>0</v>
      </c>
      <c r="X10">
        <v>0</v>
      </c>
      <c r="Y10">
        <v>0</v>
      </c>
    </row>
    <row r="11" spans="1:25" x14ac:dyDescent="0.25">
      <c r="A11" t="s">
        <v>959</v>
      </c>
      <c r="B11" t="s">
        <v>375</v>
      </c>
      <c r="C11" t="s">
        <v>1087</v>
      </c>
      <c r="D11" t="s">
        <v>1079</v>
      </c>
      <c r="N11" t="s">
        <v>1088</v>
      </c>
      <c r="O11">
        <v>-2571.75</v>
      </c>
      <c r="P11">
        <v>-2571.75</v>
      </c>
      <c r="Q11">
        <v>0</v>
      </c>
      <c r="R11" s="214">
        <v>0</v>
      </c>
      <c r="S11" s="216">
        <v>0</v>
      </c>
      <c r="T11">
        <v>0</v>
      </c>
      <c r="U11" s="217">
        <v>0</v>
      </c>
      <c r="V11">
        <v>0</v>
      </c>
      <c r="W11">
        <v>0</v>
      </c>
      <c r="X11">
        <v>0</v>
      </c>
      <c r="Y11">
        <v>0</v>
      </c>
    </row>
    <row r="12" spans="1:25" x14ac:dyDescent="0.25">
      <c r="A12" t="s">
        <v>959</v>
      </c>
      <c r="B12" t="s">
        <v>375</v>
      </c>
      <c r="C12" t="s">
        <v>1087</v>
      </c>
      <c r="D12" t="s">
        <v>1079</v>
      </c>
      <c r="N12" t="s">
        <v>1089</v>
      </c>
      <c r="O12">
        <v>0</v>
      </c>
      <c r="P12">
        <v>0</v>
      </c>
      <c r="Q12">
        <v>0</v>
      </c>
      <c r="R12" s="214">
        <v>0</v>
      </c>
      <c r="S12" s="216">
        <v>0</v>
      </c>
      <c r="T12">
        <v>0</v>
      </c>
      <c r="U12" s="217">
        <v>0</v>
      </c>
      <c r="V12">
        <v>0</v>
      </c>
      <c r="W12">
        <v>0</v>
      </c>
      <c r="X12">
        <v>0</v>
      </c>
      <c r="Y12">
        <v>0</v>
      </c>
    </row>
    <row r="13" spans="1:25" x14ac:dyDescent="0.25">
      <c r="A13" t="s">
        <v>958</v>
      </c>
      <c r="B13" t="s">
        <v>1090</v>
      </c>
      <c r="C13" t="s">
        <v>1091</v>
      </c>
      <c r="D13" t="s">
        <v>1079</v>
      </c>
      <c r="E13">
        <v>400317.65</v>
      </c>
      <c r="F13">
        <v>340270</v>
      </c>
      <c r="G13">
        <v>340270</v>
      </c>
      <c r="H13">
        <v>0</v>
      </c>
      <c r="I13" s="221">
        <v>60047.65</v>
      </c>
      <c r="J13" s="219">
        <v>0</v>
      </c>
      <c r="K13">
        <v>60047.65</v>
      </c>
      <c r="L13">
        <v>0</v>
      </c>
      <c r="M13">
        <v>0</v>
      </c>
      <c r="O13">
        <v>109901.74</v>
      </c>
      <c r="P13">
        <v>109901.74</v>
      </c>
      <c r="Q13">
        <v>102081</v>
      </c>
      <c r="R13" s="214">
        <v>102081</v>
      </c>
      <c r="S13" s="216">
        <v>0</v>
      </c>
      <c r="T13">
        <v>0</v>
      </c>
      <c r="U13" s="217">
        <v>1173.1099999999999</v>
      </c>
      <c r="V13">
        <v>0</v>
      </c>
      <c r="W13">
        <v>1173.1099999999999</v>
      </c>
      <c r="X13">
        <v>0</v>
      </c>
      <c r="Y13">
        <v>0</v>
      </c>
    </row>
    <row r="14" spans="1:25" x14ac:dyDescent="0.25">
      <c r="A14" t="s">
        <v>961</v>
      </c>
      <c r="B14" t="s">
        <v>383</v>
      </c>
      <c r="C14" t="s">
        <v>1081</v>
      </c>
      <c r="D14" t="s">
        <v>1079</v>
      </c>
      <c r="E14">
        <v>569725.68000000005</v>
      </c>
      <c r="F14">
        <v>484266.82</v>
      </c>
      <c r="G14">
        <v>484266.82</v>
      </c>
      <c r="H14">
        <v>0</v>
      </c>
      <c r="I14" s="221">
        <v>85458.86</v>
      </c>
      <c r="J14" s="219">
        <v>0</v>
      </c>
      <c r="K14">
        <v>76594.850000000006</v>
      </c>
      <c r="L14">
        <v>0</v>
      </c>
      <c r="M14">
        <v>8864.01</v>
      </c>
      <c r="O14">
        <v>288663.78999999998</v>
      </c>
      <c r="P14">
        <v>286432.96999999997</v>
      </c>
      <c r="Q14">
        <v>267156.23</v>
      </c>
      <c r="R14" s="214">
        <v>267156.23</v>
      </c>
      <c r="S14" s="216">
        <v>0</v>
      </c>
      <c r="T14">
        <v>0</v>
      </c>
      <c r="U14" s="217">
        <v>21507.56</v>
      </c>
      <c r="V14">
        <v>0</v>
      </c>
      <c r="W14">
        <v>19276.740000000002</v>
      </c>
      <c r="X14">
        <v>0</v>
      </c>
      <c r="Y14">
        <v>2230.8200000000002</v>
      </c>
    </row>
    <row r="15" spans="1:25" x14ac:dyDescent="0.25">
      <c r="A15" t="s">
        <v>962</v>
      </c>
      <c r="B15" t="s">
        <v>387</v>
      </c>
      <c r="C15" t="s">
        <v>1083</v>
      </c>
      <c r="D15" t="s">
        <v>1079</v>
      </c>
      <c r="E15">
        <v>616710.03</v>
      </c>
      <c r="F15">
        <v>524203.52000000002</v>
      </c>
      <c r="G15">
        <v>524203.52000000002</v>
      </c>
      <c r="H15">
        <v>0</v>
      </c>
      <c r="I15" s="221">
        <v>92506.51</v>
      </c>
      <c r="J15" s="219">
        <v>0</v>
      </c>
      <c r="K15">
        <v>92506.51</v>
      </c>
      <c r="L15">
        <v>0</v>
      </c>
      <c r="M15">
        <v>0</v>
      </c>
      <c r="O15">
        <v>527429.92000000004</v>
      </c>
      <c r="P15">
        <v>527429.92000000004</v>
      </c>
      <c r="Q15">
        <v>320815.43</v>
      </c>
      <c r="R15" s="214">
        <v>320815.43</v>
      </c>
      <c r="S15" s="216">
        <v>0</v>
      </c>
      <c r="T15">
        <v>0</v>
      </c>
      <c r="U15" s="217">
        <v>2607.29</v>
      </c>
      <c r="V15">
        <v>0</v>
      </c>
      <c r="W15">
        <v>2607.29</v>
      </c>
      <c r="X15">
        <v>0</v>
      </c>
      <c r="Y15">
        <v>0</v>
      </c>
    </row>
    <row r="16" spans="1:25" x14ac:dyDescent="0.25">
      <c r="A16" t="s">
        <v>960</v>
      </c>
      <c r="B16" t="s">
        <v>379</v>
      </c>
      <c r="C16" t="s">
        <v>1078</v>
      </c>
      <c r="D16" t="s">
        <v>1079</v>
      </c>
      <c r="E16">
        <v>566036.31999999995</v>
      </c>
      <c r="F16">
        <v>459270</v>
      </c>
      <c r="G16">
        <v>459270</v>
      </c>
      <c r="H16">
        <v>0</v>
      </c>
      <c r="I16" s="221">
        <v>106766.32</v>
      </c>
      <c r="J16" s="219">
        <v>0</v>
      </c>
      <c r="K16">
        <v>106766.32</v>
      </c>
      <c r="L16">
        <v>0</v>
      </c>
      <c r="M16">
        <v>0</v>
      </c>
      <c r="O16">
        <v>703132.52</v>
      </c>
      <c r="P16">
        <v>703132.52</v>
      </c>
      <c r="Q16">
        <v>459270</v>
      </c>
      <c r="R16" s="214">
        <v>459270</v>
      </c>
      <c r="S16" s="216">
        <v>0</v>
      </c>
      <c r="T16">
        <v>0</v>
      </c>
      <c r="U16" s="217">
        <v>106637.15</v>
      </c>
      <c r="V16">
        <v>0</v>
      </c>
      <c r="W16">
        <v>106637.15</v>
      </c>
      <c r="X16">
        <v>0</v>
      </c>
      <c r="Y16">
        <v>0</v>
      </c>
    </row>
    <row r="17" spans="1:25" x14ac:dyDescent="0.25">
      <c r="A17" t="s">
        <v>946</v>
      </c>
      <c r="B17" t="s">
        <v>1092</v>
      </c>
      <c r="C17" t="s">
        <v>1093</v>
      </c>
      <c r="D17" t="s">
        <v>1079</v>
      </c>
      <c r="E17">
        <v>1392800</v>
      </c>
      <c r="F17">
        <v>789008.78</v>
      </c>
      <c r="G17">
        <v>789008.78</v>
      </c>
      <c r="H17">
        <v>0</v>
      </c>
      <c r="I17" s="221">
        <v>603791.22</v>
      </c>
      <c r="J17" s="219">
        <v>0</v>
      </c>
      <c r="K17">
        <v>603791.22</v>
      </c>
      <c r="L17">
        <v>0</v>
      </c>
      <c r="M17">
        <v>0</v>
      </c>
      <c r="O17">
        <v>714024.13</v>
      </c>
      <c r="P17">
        <v>714024.13</v>
      </c>
      <c r="Q17">
        <v>374694.13</v>
      </c>
      <c r="R17" s="214">
        <v>374694.13</v>
      </c>
      <c r="S17" s="216">
        <v>0</v>
      </c>
      <c r="T17">
        <v>0</v>
      </c>
      <c r="U17" s="217">
        <v>339330</v>
      </c>
      <c r="V17">
        <v>0</v>
      </c>
      <c r="W17">
        <v>339330</v>
      </c>
      <c r="X17">
        <v>0</v>
      </c>
      <c r="Y17">
        <v>0</v>
      </c>
    </row>
    <row r="18" spans="1:25" x14ac:dyDescent="0.25">
      <c r="A18" t="s">
        <v>947</v>
      </c>
      <c r="B18" t="s">
        <v>1094</v>
      </c>
      <c r="C18" t="s">
        <v>1095</v>
      </c>
      <c r="D18" t="s">
        <v>1079</v>
      </c>
      <c r="E18">
        <v>1229574.68</v>
      </c>
      <c r="F18">
        <v>823834.4</v>
      </c>
      <c r="G18">
        <v>823834.4</v>
      </c>
      <c r="H18">
        <v>0</v>
      </c>
      <c r="I18" s="221">
        <v>405740.28</v>
      </c>
      <c r="J18" s="219">
        <v>0</v>
      </c>
      <c r="K18">
        <v>77088.759999999995</v>
      </c>
      <c r="L18">
        <v>0</v>
      </c>
      <c r="M18">
        <v>328651.52000000002</v>
      </c>
      <c r="O18">
        <v>875616.17</v>
      </c>
      <c r="P18">
        <v>677828.02</v>
      </c>
      <c r="Q18">
        <v>556212.31000000006</v>
      </c>
      <c r="R18" s="214">
        <v>556212.31000000006</v>
      </c>
      <c r="S18" s="216">
        <v>0</v>
      </c>
      <c r="T18">
        <v>0</v>
      </c>
      <c r="U18" s="217">
        <v>319403.86</v>
      </c>
      <c r="V18">
        <v>0</v>
      </c>
      <c r="W18">
        <v>77095.33</v>
      </c>
      <c r="X18">
        <v>0</v>
      </c>
      <c r="Y18">
        <v>242308.53</v>
      </c>
    </row>
    <row r="19" spans="1:25" x14ac:dyDescent="0.25">
      <c r="A19" t="s">
        <v>950</v>
      </c>
      <c r="B19" t="s">
        <v>1096</v>
      </c>
      <c r="C19" t="s">
        <v>1097</v>
      </c>
      <c r="D19" t="s">
        <v>1079</v>
      </c>
      <c r="E19">
        <v>1226741.69</v>
      </c>
      <c r="F19">
        <v>824798.84</v>
      </c>
      <c r="G19">
        <v>824798.84</v>
      </c>
      <c r="H19">
        <v>0</v>
      </c>
      <c r="I19" s="221">
        <v>401942.85</v>
      </c>
      <c r="J19" s="219">
        <v>0</v>
      </c>
      <c r="K19">
        <v>0</v>
      </c>
      <c r="L19">
        <v>0</v>
      </c>
      <c r="M19">
        <v>401942.85</v>
      </c>
      <c r="O19">
        <v>908170.39</v>
      </c>
      <c r="P19">
        <v>609056.39</v>
      </c>
      <c r="Q19">
        <v>608860.23</v>
      </c>
      <c r="R19" s="214">
        <v>608860.23</v>
      </c>
      <c r="S19" s="216">
        <v>0</v>
      </c>
      <c r="T19">
        <v>0</v>
      </c>
      <c r="U19" s="217">
        <v>299310.15999999997</v>
      </c>
      <c r="V19">
        <v>0</v>
      </c>
      <c r="W19">
        <v>0</v>
      </c>
      <c r="X19">
        <v>0</v>
      </c>
      <c r="Y19">
        <v>299310.15999999997</v>
      </c>
    </row>
    <row r="20" spans="1:25" x14ac:dyDescent="0.25">
      <c r="A20" t="s">
        <v>949</v>
      </c>
      <c r="B20" t="s">
        <v>1098</v>
      </c>
      <c r="C20" t="s">
        <v>1099</v>
      </c>
      <c r="D20" t="s">
        <v>1079</v>
      </c>
      <c r="E20">
        <v>1665450</v>
      </c>
      <c r="F20">
        <v>1110408</v>
      </c>
      <c r="G20">
        <v>1110408</v>
      </c>
      <c r="H20">
        <v>0</v>
      </c>
      <c r="I20" s="221">
        <v>555042</v>
      </c>
      <c r="J20" s="219">
        <v>0</v>
      </c>
      <c r="K20">
        <v>0</v>
      </c>
      <c r="L20">
        <v>0</v>
      </c>
      <c r="M20">
        <v>555042</v>
      </c>
      <c r="O20">
        <v>1196833.49</v>
      </c>
      <c r="P20">
        <v>884148.56</v>
      </c>
      <c r="Q20">
        <v>664148.55000000005</v>
      </c>
      <c r="R20" s="214">
        <v>664148.55000000005</v>
      </c>
      <c r="S20" s="216">
        <v>0</v>
      </c>
      <c r="T20">
        <v>0</v>
      </c>
      <c r="U20" s="217">
        <v>312684.94</v>
      </c>
      <c r="V20">
        <v>0</v>
      </c>
      <c r="W20">
        <v>0</v>
      </c>
      <c r="X20">
        <v>0</v>
      </c>
      <c r="Y20">
        <v>312684.94</v>
      </c>
    </row>
    <row r="21" spans="1:25" x14ac:dyDescent="0.25">
      <c r="A21" t="s">
        <v>949</v>
      </c>
      <c r="B21" t="s">
        <v>1098</v>
      </c>
      <c r="C21" t="s">
        <v>1099</v>
      </c>
      <c r="D21" t="s">
        <v>1079</v>
      </c>
      <c r="N21" t="s">
        <v>1088</v>
      </c>
      <c r="O21">
        <v>0</v>
      </c>
      <c r="P21">
        <v>0</v>
      </c>
      <c r="Q21">
        <v>0</v>
      </c>
      <c r="R21" s="214">
        <v>0</v>
      </c>
      <c r="S21" s="216">
        <v>0</v>
      </c>
      <c r="T21">
        <v>0</v>
      </c>
      <c r="U21" s="217">
        <v>-59287.85</v>
      </c>
      <c r="V21">
        <v>0</v>
      </c>
      <c r="W21">
        <v>0</v>
      </c>
      <c r="X21">
        <v>0</v>
      </c>
      <c r="Y21">
        <v>-59287.85</v>
      </c>
    </row>
    <row r="22" spans="1:25" x14ac:dyDescent="0.25">
      <c r="A22" t="s">
        <v>949</v>
      </c>
      <c r="B22" t="s">
        <v>1098</v>
      </c>
      <c r="C22" t="s">
        <v>1099</v>
      </c>
      <c r="D22" t="s">
        <v>1079</v>
      </c>
      <c r="N22" t="s">
        <v>1088</v>
      </c>
      <c r="O22">
        <v>-211180</v>
      </c>
      <c r="P22">
        <v>-151892.15</v>
      </c>
      <c r="Q22">
        <v>0</v>
      </c>
      <c r="R22" s="214">
        <v>0</v>
      </c>
      <c r="S22" s="216">
        <v>0</v>
      </c>
      <c r="T22">
        <v>0</v>
      </c>
      <c r="U22" s="217">
        <v>0</v>
      </c>
      <c r="V22">
        <v>0</v>
      </c>
      <c r="W22">
        <v>0</v>
      </c>
      <c r="X22">
        <v>0</v>
      </c>
      <c r="Y22">
        <v>0</v>
      </c>
    </row>
    <row r="23" spans="1:25" x14ac:dyDescent="0.25">
      <c r="A23" t="s">
        <v>948</v>
      </c>
      <c r="B23" t="s">
        <v>1100</v>
      </c>
      <c r="C23" t="s">
        <v>1101</v>
      </c>
      <c r="D23" t="s">
        <v>872</v>
      </c>
      <c r="E23">
        <v>3752037.22</v>
      </c>
      <c r="F23">
        <v>1717232.99</v>
      </c>
      <c r="G23">
        <v>1717232.99</v>
      </c>
      <c r="H23">
        <v>0</v>
      </c>
      <c r="I23" s="221">
        <v>2034804.23</v>
      </c>
      <c r="J23" s="219">
        <v>0</v>
      </c>
      <c r="K23">
        <v>0</v>
      </c>
      <c r="L23">
        <v>0</v>
      </c>
      <c r="M23">
        <v>2034804.23</v>
      </c>
      <c r="O23">
        <v>3744065.92</v>
      </c>
      <c r="P23">
        <v>2901475.15</v>
      </c>
      <c r="Q23">
        <v>1713584.68</v>
      </c>
      <c r="R23" s="214">
        <v>1713584.68</v>
      </c>
      <c r="S23" s="216">
        <v>0</v>
      </c>
      <c r="T23">
        <v>0</v>
      </c>
      <c r="U23" s="217">
        <v>2030481.24</v>
      </c>
      <c r="V23">
        <v>0</v>
      </c>
      <c r="W23">
        <v>0</v>
      </c>
      <c r="X23">
        <v>1187890.47</v>
      </c>
      <c r="Y23">
        <v>842590.77</v>
      </c>
    </row>
    <row r="24" spans="1:25" x14ac:dyDescent="0.25">
      <c r="A24" t="s">
        <v>951</v>
      </c>
      <c r="B24" t="s">
        <v>331</v>
      </c>
      <c r="C24" t="s">
        <v>1102</v>
      </c>
      <c r="D24" t="s">
        <v>1079</v>
      </c>
      <c r="E24">
        <v>2011598.52</v>
      </c>
      <c r="F24">
        <v>1609278.82</v>
      </c>
      <c r="G24">
        <v>1609278.82</v>
      </c>
      <c r="H24">
        <v>0</v>
      </c>
      <c r="I24" s="221">
        <v>402319.7</v>
      </c>
      <c r="J24" s="219">
        <v>0</v>
      </c>
      <c r="K24">
        <v>0</v>
      </c>
      <c r="L24">
        <v>0</v>
      </c>
      <c r="M24">
        <v>402319.7</v>
      </c>
      <c r="O24">
        <v>1620494.31</v>
      </c>
      <c r="P24">
        <v>1296395.45</v>
      </c>
      <c r="Q24">
        <v>1296395.45</v>
      </c>
      <c r="R24" s="214">
        <v>1296395.45</v>
      </c>
      <c r="S24" s="216">
        <v>0</v>
      </c>
      <c r="T24">
        <v>0</v>
      </c>
      <c r="U24" s="217">
        <v>324098.86</v>
      </c>
      <c r="V24">
        <v>0</v>
      </c>
      <c r="W24">
        <v>0</v>
      </c>
      <c r="X24">
        <v>0</v>
      </c>
      <c r="Y24">
        <v>324098.86</v>
      </c>
    </row>
    <row r="25" spans="1:25" x14ac:dyDescent="0.25">
      <c r="A25" t="s">
        <v>953</v>
      </c>
      <c r="B25" t="s">
        <v>346</v>
      </c>
      <c r="C25" t="s">
        <v>1095</v>
      </c>
      <c r="D25" t="s">
        <v>1079</v>
      </c>
      <c r="E25">
        <v>677199.48</v>
      </c>
      <c r="F25">
        <v>375000</v>
      </c>
      <c r="G25">
        <v>375000</v>
      </c>
      <c r="H25">
        <v>0</v>
      </c>
      <c r="I25" s="221">
        <v>302199.48</v>
      </c>
      <c r="J25" s="219">
        <v>0</v>
      </c>
      <c r="K25">
        <v>271961.78000000003</v>
      </c>
      <c r="L25">
        <v>0</v>
      </c>
      <c r="M25">
        <v>30237.7</v>
      </c>
      <c r="O25">
        <v>15700</v>
      </c>
      <c r="P25">
        <v>14998.98</v>
      </c>
      <c r="Q25">
        <v>8693.89</v>
      </c>
      <c r="R25" s="214">
        <v>8693.89</v>
      </c>
      <c r="S25" s="216">
        <v>0</v>
      </c>
      <c r="T25">
        <v>0</v>
      </c>
      <c r="U25" s="217">
        <v>7006.11</v>
      </c>
      <c r="V25">
        <v>0</v>
      </c>
      <c r="W25">
        <v>6305.09</v>
      </c>
      <c r="X25">
        <v>0</v>
      </c>
      <c r="Y25">
        <v>701.02</v>
      </c>
    </row>
    <row r="26" spans="1:25" x14ac:dyDescent="0.25">
      <c r="A26" t="s">
        <v>945</v>
      </c>
      <c r="B26" t="s">
        <v>1103</v>
      </c>
      <c r="C26" t="s">
        <v>1083</v>
      </c>
      <c r="D26" t="s">
        <v>1104</v>
      </c>
      <c r="E26">
        <v>298749.28000000003</v>
      </c>
      <c r="F26">
        <v>253936.88</v>
      </c>
      <c r="G26">
        <v>253936.88</v>
      </c>
      <c r="H26">
        <v>0</v>
      </c>
      <c r="I26" s="221">
        <v>44812.4</v>
      </c>
      <c r="J26" s="219">
        <v>0</v>
      </c>
      <c r="K26">
        <v>44812.4</v>
      </c>
      <c r="L26">
        <v>0</v>
      </c>
      <c r="M26">
        <v>0</v>
      </c>
      <c r="O26">
        <v>0</v>
      </c>
      <c r="P26">
        <v>0</v>
      </c>
      <c r="Q26">
        <v>0</v>
      </c>
      <c r="R26" s="214">
        <v>0</v>
      </c>
      <c r="S26" s="216">
        <v>0</v>
      </c>
      <c r="T26">
        <v>0</v>
      </c>
      <c r="U26" s="217">
        <v>0</v>
      </c>
      <c r="V26">
        <v>0</v>
      </c>
      <c r="W26">
        <v>0</v>
      </c>
      <c r="X26">
        <v>0</v>
      </c>
      <c r="Y26">
        <v>0</v>
      </c>
    </row>
    <row r="27" spans="1:25" x14ac:dyDescent="0.25">
      <c r="A27" t="s">
        <v>945</v>
      </c>
      <c r="B27" t="s">
        <v>1103</v>
      </c>
      <c r="C27" t="s">
        <v>1083</v>
      </c>
      <c r="D27" t="s">
        <v>1104</v>
      </c>
      <c r="N27" t="s">
        <v>1105</v>
      </c>
      <c r="O27">
        <v>0</v>
      </c>
      <c r="P27">
        <v>0</v>
      </c>
      <c r="Q27">
        <v>0</v>
      </c>
      <c r="R27" s="214">
        <v>0</v>
      </c>
      <c r="S27" s="216">
        <v>0</v>
      </c>
      <c r="T27">
        <v>0</v>
      </c>
      <c r="U27" s="217">
        <v>-2455.7399999999998</v>
      </c>
      <c r="V27">
        <v>0</v>
      </c>
      <c r="W27">
        <v>-2455.7399999999998</v>
      </c>
      <c r="X27">
        <v>0</v>
      </c>
      <c r="Y27">
        <v>0</v>
      </c>
    </row>
    <row r="28" spans="1:25" x14ac:dyDescent="0.25">
      <c r="A28" t="s">
        <v>945</v>
      </c>
      <c r="B28" t="s">
        <v>1103</v>
      </c>
      <c r="C28" t="s">
        <v>1083</v>
      </c>
      <c r="D28" t="s">
        <v>1104</v>
      </c>
      <c r="N28" t="s">
        <v>1105</v>
      </c>
      <c r="O28">
        <v>-16371.56</v>
      </c>
      <c r="P28">
        <v>-16371.56</v>
      </c>
      <c r="Q28">
        <v>-13915.82</v>
      </c>
      <c r="R28" s="214">
        <v>-13915.82</v>
      </c>
      <c r="S28" s="216">
        <v>0</v>
      </c>
      <c r="T28">
        <v>0</v>
      </c>
      <c r="U28" s="217">
        <v>0</v>
      </c>
      <c r="V28">
        <v>0</v>
      </c>
      <c r="W28">
        <v>0</v>
      </c>
      <c r="X28">
        <v>0</v>
      </c>
      <c r="Y28">
        <v>0</v>
      </c>
    </row>
    <row r="29" spans="1:25" x14ac:dyDescent="0.25">
      <c r="A29" t="s">
        <v>941</v>
      </c>
      <c r="B29" t="s">
        <v>1106</v>
      </c>
      <c r="C29" t="s">
        <v>1087</v>
      </c>
      <c r="D29" t="s">
        <v>1079</v>
      </c>
      <c r="E29">
        <v>493252.18</v>
      </c>
      <c r="F29">
        <v>419264.35</v>
      </c>
      <c r="G29">
        <v>419264.35</v>
      </c>
      <c r="H29">
        <v>0</v>
      </c>
      <c r="I29" s="221">
        <v>73987.83</v>
      </c>
      <c r="J29" s="219">
        <v>0</v>
      </c>
      <c r="K29">
        <v>73987.83</v>
      </c>
      <c r="L29">
        <v>0</v>
      </c>
      <c r="M29">
        <v>0</v>
      </c>
      <c r="O29">
        <v>424421.17</v>
      </c>
      <c r="P29">
        <v>424421.17</v>
      </c>
      <c r="Q29">
        <v>318507.99</v>
      </c>
      <c r="R29" s="214">
        <v>318507.99</v>
      </c>
      <c r="S29" s="216">
        <v>0</v>
      </c>
      <c r="T29">
        <v>0</v>
      </c>
      <c r="U29" s="217">
        <v>50913.18</v>
      </c>
      <c r="V29">
        <v>0</v>
      </c>
      <c r="W29">
        <v>50913.18</v>
      </c>
      <c r="X29">
        <v>0</v>
      </c>
      <c r="Y29">
        <v>0</v>
      </c>
    </row>
    <row r="30" spans="1:25" x14ac:dyDescent="0.25">
      <c r="A30" t="s">
        <v>942</v>
      </c>
      <c r="B30" t="s">
        <v>1107</v>
      </c>
      <c r="C30" t="s">
        <v>1083</v>
      </c>
      <c r="D30" t="s">
        <v>1079</v>
      </c>
      <c r="E30">
        <v>282956.7</v>
      </c>
      <c r="F30">
        <v>240513.19</v>
      </c>
      <c r="G30">
        <v>240513.19</v>
      </c>
      <c r="H30">
        <v>0</v>
      </c>
      <c r="I30" s="221">
        <v>42443.51</v>
      </c>
      <c r="J30" s="219">
        <v>0</v>
      </c>
      <c r="K30">
        <v>42443.51</v>
      </c>
      <c r="L30">
        <v>0</v>
      </c>
      <c r="M30">
        <v>0</v>
      </c>
      <c r="O30">
        <v>206076.89</v>
      </c>
      <c r="P30">
        <v>206076.89</v>
      </c>
      <c r="Q30">
        <v>175165.35</v>
      </c>
      <c r="R30" s="214">
        <v>175165.35</v>
      </c>
      <c r="S30" s="216">
        <v>0</v>
      </c>
      <c r="T30">
        <v>0</v>
      </c>
      <c r="U30" s="217">
        <v>30911.54</v>
      </c>
      <c r="V30">
        <v>0</v>
      </c>
      <c r="W30">
        <v>30911.54</v>
      </c>
      <c r="X30">
        <v>0</v>
      </c>
      <c r="Y30">
        <v>0</v>
      </c>
    </row>
    <row r="31" spans="1:25" x14ac:dyDescent="0.25">
      <c r="A31" t="s">
        <v>942</v>
      </c>
      <c r="B31" t="s">
        <v>1107</v>
      </c>
      <c r="C31" t="s">
        <v>1083</v>
      </c>
      <c r="D31" t="s">
        <v>1079</v>
      </c>
      <c r="N31" t="s">
        <v>1088</v>
      </c>
      <c r="O31">
        <v>0</v>
      </c>
      <c r="P31">
        <v>0</v>
      </c>
      <c r="Q31">
        <v>0</v>
      </c>
      <c r="R31" s="214">
        <v>0</v>
      </c>
      <c r="S31" s="216">
        <v>0</v>
      </c>
      <c r="T31">
        <v>0</v>
      </c>
      <c r="U31" s="217">
        <v>-546.94000000000005</v>
      </c>
      <c r="V31">
        <v>0</v>
      </c>
      <c r="W31">
        <v>-546.94000000000005</v>
      </c>
      <c r="X31">
        <v>0</v>
      </c>
      <c r="Y31">
        <v>0</v>
      </c>
    </row>
    <row r="32" spans="1:25" x14ac:dyDescent="0.25">
      <c r="A32" t="s">
        <v>942</v>
      </c>
      <c r="B32" t="s">
        <v>1107</v>
      </c>
      <c r="C32" t="s">
        <v>1083</v>
      </c>
      <c r="D32" t="s">
        <v>1079</v>
      </c>
      <c r="N32" t="s">
        <v>1088</v>
      </c>
      <c r="O32">
        <v>-3646.27</v>
      </c>
      <c r="P32">
        <v>-3646.27</v>
      </c>
      <c r="Q32">
        <v>0</v>
      </c>
      <c r="R32" s="214">
        <v>0</v>
      </c>
      <c r="S32" s="216">
        <v>0</v>
      </c>
      <c r="T32">
        <v>0</v>
      </c>
      <c r="U32" s="217">
        <v>0</v>
      </c>
      <c r="V32">
        <v>0</v>
      </c>
      <c r="W32">
        <v>0</v>
      </c>
      <c r="X32">
        <v>0</v>
      </c>
      <c r="Y32">
        <v>0</v>
      </c>
    </row>
    <row r="33" spans="1:25" x14ac:dyDescent="0.25">
      <c r="A33" t="s">
        <v>942</v>
      </c>
      <c r="B33" t="s">
        <v>1107</v>
      </c>
      <c r="C33" t="s">
        <v>1083</v>
      </c>
      <c r="D33" t="s">
        <v>1079</v>
      </c>
      <c r="N33" t="s">
        <v>1088</v>
      </c>
      <c r="O33">
        <v>0</v>
      </c>
      <c r="P33">
        <v>0</v>
      </c>
      <c r="Q33">
        <v>0</v>
      </c>
      <c r="R33" s="214">
        <v>0</v>
      </c>
      <c r="S33" s="216">
        <v>0</v>
      </c>
      <c r="T33">
        <v>0</v>
      </c>
      <c r="U33" s="217">
        <v>-6.02</v>
      </c>
      <c r="V33">
        <v>0</v>
      </c>
      <c r="W33">
        <v>-6.02</v>
      </c>
      <c r="X33">
        <v>0</v>
      </c>
      <c r="Y33">
        <v>0</v>
      </c>
    </row>
    <row r="34" spans="1:25" x14ac:dyDescent="0.25">
      <c r="A34" t="s">
        <v>942</v>
      </c>
      <c r="B34" t="s">
        <v>1107</v>
      </c>
      <c r="C34" t="s">
        <v>1083</v>
      </c>
      <c r="D34" t="s">
        <v>1079</v>
      </c>
      <c r="N34" t="s">
        <v>1088</v>
      </c>
      <c r="O34">
        <v>-40.1</v>
      </c>
      <c r="P34">
        <v>-40.1</v>
      </c>
      <c r="Q34">
        <v>0</v>
      </c>
      <c r="R34" s="214">
        <v>0</v>
      </c>
      <c r="S34" s="216">
        <v>0</v>
      </c>
      <c r="T34">
        <v>0</v>
      </c>
      <c r="U34" s="217">
        <v>0</v>
      </c>
      <c r="V34">
        <v>0</v>
      </c>
      <c r="W34">
        <v>0</v>
      </c>
      <c r="X34">
        <v>0</v>
      </c>
      <c r="Y34">
        <v>0</v>
      </c>
    </row>
    <row r="35" spans="1:25" x14ac:dyDescent="0.25">
      <c r="A35" t="s">
        <v>943</v>
      </c>
      <c r="B35" t="s">
        <v>1108</v>
      </c>
      <c r="C35" t="s">
        <v>1078</v>
      </c>
      <c r="D35" t="s">
        <v>1079</v>
      </c>
      <c r="E35">
        <v>270483.15000000002</v>
      </c>
      <c r="F35">
        <v>221058</v>
      </c>
      <c r="G35">
        <v>221058</v>
      </c>
      <c r="H35">
        <v>0</v>
      </c>
      <c r="I35" s="221">
        <v>49425.15</v>
      </c>
      <c r="J35" s="219">
        <v>0</v>
      </c>
      <c r="K35">
        <v>49425.15</v>
      </c>
      <c r="L35">
        <v>0</v>
      </c>
      <c r="M35">
        <v>0</v>
      </c>
      <c r="O35">
        <v>245663.75</v>
      </c>
      <c r="P35">
        <v>245663.75</v>
      </c>
      <c r="Q35">
        <v>177891.94</v>
      </c>
      <c r="R35" s="214">
        <v>177891.94</v>
      </c>
      <c r="S35" s="216">
        <v>0</v>
      </c>
      <c r="T35">
        <v>0</v>
      </c>
      <c r="U35" s="217">
        <v>32771.81</v>
      </c>
      <c r="V35">
        <v>0</v>
      </c>
      <c r="W35">
        <v>32771.81</v>
      </c>
      <c r="X35">
        <v>0</v>
      </c>
      <c r="Y35">
        <v>0</v>
      </c>
    </row>
    <row r="36" spans="1:25" x14ac:dyDescent="0.25">
      <c r="A36" t="s">
        <v>944</v>
      </c>
      <c r="B36" t="s">
        <v>290</v>
      </c>
      <c r="C36" t="s">
        <v>1081</v>
      </c>
      <c r="D36" t="s">
        <v>1079</v>
      </c>
      <c r="E36">
        <v>417260.75</v>
      </c>
      <c r="F36">
        <v>284719.81</v>
      </c>
      <c r="G36">
        <v>284719.81</v>
      </c>
      <c r="H36">
        <v>0</v>
      </c>
      <c r="I36" s="221">
        <v>132540.94</v>
      </c>
      <c r="J36" s="219">
        <v>0</v>
      </c>
      <c r="K36">
        <v>132540.94</v>
      </c>
      <c r="L36">
        <v>0</v>
      </c>
      <c r="M36">
        <v>0</v>
      </c>
      <c r="O36">
        <v>15000</v>
      </c>
      <c r="P36">
        <v>15000</v>
      </c>
      <c r="Q36">
        <v>15000</v>
      </c>
      <c r="R36" s="214">
        <v>15000</v>
      </c>
      <c r="S36" s="216">
        <v>0</v>
      </c>
      <c r="T36">
        <v>0</v>
      </c>
      <c r="U36" s="217">
        <v>0</v>
      </c>
      <c r="V36">
        <v>0</v>
      </c>
      <c r="W36">
        <v>0</v>
      </c>
      <c r="X36">
        <v>0</v>
      </c>
      <c r="Y36">
        <v>0</v>
      </c>
    </row>
    <row r="37" spans="1:25" x14ac:dyDescent="0.25">
      <c r="A37" t="s">
        <v>967</v>
      </c>
      <c r="B37" t="s">
        <v>1109</v>
      </c>
      <c r="C37" t="s">
        <v>1087</v>
      </c>
      <c r="D37" t="s">
        <v>872</v>
      </c>
      <c r="E37">
        <v>238835.47</v>
      </c>
      <c r="F37">
        <v>203010.14</v>
      </c>
      <c r="G37">
        <v>203010.14</v>
      </c>
      <c r="H37">
        <v>0</v>
      </c>
      <c r="I37" s="221">
        <v>35825.33</v>
      </c>
      <c r="J37" s="219">
        <v>0</v>
      </c>
      <c r="K37">
        <v>35825.33</v>
      </c>
      <c r="L37">
        <v>0</v>
      </c>
      <c r="M37">
        <v>0</v>
      </c>
      <c r="O37">
        <v>238835.47</v>
      </c>
      <c r="P37">
        <v>238835.47</v>
      </c>
      <c r="Q37">
        <v>203010.14</v>
      </c>
      <c r="R37" s="214">
        <v>203010.14</v>
      </c>
      <c r="S37" s="216">
        <v>0</v>
      </c>
      <c r="T37">
        <v>0</v>
      </c>
      <c r="U37" s="217">
        <v>35825.33</v>
      </c>
      <c r="V37">
        <v>0</v>
      </c>
      <c r="W37">
        <v>35825.33</v>
      </c>
      <c r="X37">
        <v>0</v>
      </c>
      <c r="Y37">
        <v>0</v>
      </c>
    </row>
    <row r="38" spans="1:25" x14ac:dyDescent="0.25">
      <c r="A38" t="s">
        <v>964</v>
      </c>
      <c r="B38" t="s">
        <v>397</v>
      </c>
      <c r="C38" t="s">
        <v>1078</v>
      </c>
      <c r="D38" t="s">
        <v>1079</v>
      </c>
      <c r="E38">
        <v>401597.48</v>
      </c>
      <c r="F38">
        <v>325725</v>
      </c>
      <c r="G38">
        <v>325725</v>
      </c>
      <c r="H38">
        <v>0</v>
      </c>
      <c r="I38" s="221">
        <v>75872.479999999996</v>
      </c>
      <c r="J38" s="219">
        <v>0</v>
      </c>
      <c r="K38">
        <v>75872.479999999996</v>
      </c>
      <c r="L38">
        <v>0</v>
      </c>
      <c r="M38">
        <v>0</v>
      </c>
      <c r="O38">
        <v>406740.3</v>
      </c>
      <c r="P38">
        <v>406740.3</v>
      </c>
      <c r="Q38">
        <v>294350.88</v>
      </c>
      <c r="R38" s="214">
        <v>294350.88</v>
      </c>
      <c r="S38" s="216">
        <v>0</v>
      </c>
      <c r="T38">
        <v>0</v>
      </c>
      <c r="U38" s="217">
        <v>64661.31</v>
      </c>
      <c r="V38">
        <v>0</v>
      </c>
      <c r="W38">
        <v>64661.31</v>
      </c>
      <c r="X38">
        <v>0</v>
      </c>
      <c r="Y38">
        <v>0</v>
      </c>
    </row>
    <row r="39" spans="1:25" x14ac:dyDescent="0.25">
      <c r="A39" t="s">
        <v>966</v>
      </c>
      <c r="B39" t="s">
        <v>404</v>
      </c>
      <c r="C39" t="s">
        <v>1083</v>
      </c>
      <c r="D39" t="s">
        <v>1079</v>
      </c>
      <c r="E39">
        <v>591365.71</v>
      </c>
      <c r="F39">
        <v>502660.84</v>
      </c>
      <c r="G39">
        <v>502660.84</v>
      </c>
      <c r="H39">
        <v>0</v>
      </c>
      <c r="I39" s="221">
        <v>88704.87</v>
      </c>
      <c r="J39" s="219">
        <v>0</v>
      </c>
      <c r="K39">
        <v>88704.87</v>
      </c>
      <c r="L39">
        <v>0</v>
      </c>
      <c r="M39">
        <v>0</v>
      </c>
      <c r="O39">
        <v>70822.81</v>
      </c>
      <c r="P39">
        <v>70822.81</v>
      </c>
      <c r="Q39">
        <v>66199.39</v>
      </c>
      <c r="R39" s="214">
        <v>66199.39</v>
      </c>
      <c r="S39" s="216">
        <v>0</v>
      </c>
      <c r="T39">
        <v>0</v>
      </c>
      <c r="U39" s="217">
        <v>4623.42</v>
      </c>
      <c r="V39">
        <v>0</v>
      </c>
      <c r="W39">
        <v>4623.42</v>
      </c>
      <c r="X39">
        <v>0</v>
      </c>
      <c r="Y39">
        <v>0</v>
      </c>
    </row>
    <row r="40" spans="1:25" x14ac:dyDescent="0.25">
      <c r="A40" t="s">
        <v>965</v>
      </c>
      <c r="B40" t="s">
        <v>401</v>
      </c>
      <c r="C40" t="s">
        <v>1081</v>
      </c>
      <c r="D40" t="s">
        <v>1079</v>
      </c>
      <c r="E40">
        <v>644100</v>
      </c>
      <c r="F40">
        <v>547485</v>
      </c>
      <c r="G40">
        <v>547485</v>
      </c>
      <c r="H40">
        <v>0</v>
      </c>
      <c r="I40" s="221">
        <v>96615</v>
      </c>
      <c r="J40" s="219">
        <v>0</v>
      </c>
      <c r="K40">
        <v>96615</v>
      </c>
      <c r="L40">
        <v>0</v>
      </c>
      <c r="M40">
        <v>0</v>
      </c>
      <c r="O40">
        <v>198188.36</v>
      </c>
      <c r="P40">
        <v>198188.36</v>
      </c>
      <c r="Q40">
        <v>177098</v>
      </c>
      <c r="R40" s="214">
        <v>177098</v>
      </c>
      <c r="S40" s="216">
        <v>0</v>
      </c>
      <c r="T40">
        <v>0</v>
      </c>
      <c r="U40" s="217">
        <v>5091.51</v>
      </c>
      <c r="V40">
        <v>0</v>
      </c>
      <c r="W40">
        <v>5091.51</v>
      </c>
      <c r="X40">
        <v>0</v>
      </c>
      <c r="Y40">
        <v>0</v>
      </c>
    </row>
    <row r="41" spans="1:25" x14ac:dyDescent="0.25">
      <c r="A41" t="s">
        <v>968</v>
      </c>
      <c r="B41" t="s">
        <v>410</v>
      </c>
      <c r="C41" t="s">
        <v>1087</v>
      </c>
      <c r="D41" t="s">
        <v>1079</v>
      </c>
      <c r="E41">
        <v>170426</v>
      </c>
      <c r="F41">
        <v>144862.1</v>
      </c>
      <c r="G41">
        <v>144862.1</v>
      </c>
      <c r="H41">
        <v>0</v>
      </c>
      <c r="I41" s="221">
        <v>25563.9</v>
      </c>
      <c r="J41" s="219">
        <v>0</v>
      </c>
      <c r="K41">
        <v>25563.9</v>
      </c>
      <c r="L41">
        <v>0</v>
      </c>
      <c r="M41">
        <v>0</v>
      </c>
      <c r="O41">
        <v>86690.67</v>
      </c>
      <c r="P41">
        <v>86690.67</v>
      </c>
      <c r="Q41">
        <v>80205.86</v>
      </c>
      <c r="R41" s="214">
        <v>80205.86</v>
      </c>
      <c r="S41" s="216">
        <v>0</v>
      </c>
      <c r="T41">
        <v>0</v>
      </c>
      <c r="U41" s="217">
        <v>6484.81</v>
      </c>
      <c r="V41">
        <v>0</v>
      </c>
      <c r="W41">
        <v>6484.81</v>
      </c>
      <c r="X41">
        <v>0</v>
      </c>
      <c r="Y41">
        <v>0</v>
      </c>
    </row>
    <row r="42" spans="1:25" x14ac:dyDescent="0.25">
      <c r="A42" t="s">
        <v>971</v>
      </c>
      <c r="B42" t="s">
        <v>1110</v>
      </c>
      <c r="C42" t="s">
        <v>1078</v>
      </c>
      <c r="D42" t="s">
        <v>1079</v>
      </c>
      <c r="E42">
        <v>271859.99</v>
      </c>
      <c r="F42">
        <v>213195.03</v>
      </c>
      <c r="G42">
        <v>213195.03</v>
      </c>
      <c r="H42">
        <v>0</v>
      </c>
      <c r="I42" s="221">
        <v>58664.959999999999</v>
      </c>
      <c r="J42" s="219">
        <v>0</v>
      </c>
      <c r="K42">
        <v>58664.959999999999</v>
      </c>
      <c r="L42">
        <v>0</v>
      </c>
      <c r="M42">
        <v>0</v>
      </c>
      <c r="O42">
        <v>63958.51</v>
      </c>
      <c r="P42">
        <v>63958.51</v>
      </c>
      <c r="Q42">
        <v>63958.51</v>
      </c>
      <c r="R42" s="214">
        <v>63958.51</v>
      </c>
      <c r="S42" s="216">
        <v>0</v>
      </c>
      <c r="T42">
        <v>0</v>
      </c>
      <c r="U42" s="217">
        <v>0</v>
      </c>
      <c r="V42">
        <v>0</v>
      </c>
      <c r="W42">
        <v>0</v>
      </c>
      <c r="X42">
        <v>0</v>
      </c>
      <c r="Y42">
        <v>0</v>
      </c>
    </row>
    <row r="43" spans="1:25" x14ac:dyDescent="0.25">
      <c r="A43" t="s">
        <v>931</v>
      </c>
      <c r="B43" t="s">
        <v>1111</v>
      </c>
      <c r="C43" t="s">
        <v>1087</v>
      </c>
      <c r="D43" t="s">
        <v>872</v>
      </c>
      <c r="E43">
        <v>615073.18999999994</v>
      </c>
      <c r="F43">
        <v>522812.21</v>
      </c>
      <c r="G43">
        <v>522812.21</v>
      </c>
      <c r="H43">
        <v>0</v>
      </c>
      <c r="I43" s="221">
        <v>92260.98</v>
      </c>
      <c r="J43" s="219">
        <v>0</v>
      </c>
      <c r="K43">
        <v>92260.98</v>
      </c>
      <c r="L43">
        <v>0</v>
      </c>
      <c r="M43">
        <v>0</v>
      </c>
      <c r="O43">
        <v>580141.18000000005</v>
      </c>
      <c r="P43">
        <v>580141.18000000005</v>
      </c>
      <c r="Q43">
        <v>493120</v>
      </c>
      <c r="R43" s="214">
        <v>493120</v>
      </c>
      <c r="S43" s="216">
        <v>0</v>
      </c>
      <c r="T43">
        <v>0</v>
      </c>
      <c r="U43" s="217">
        <v>87021.18</v>
      </c>
      <c r="V43">
        <v>0</v>
      </c>
      <c r="W43">
        <v>87021.18</v>
      </c>
      <c r="X43">
        <v>0</v>
      </c>
      <c r="Y43">
        <v>0</v>
      </c>
    </row>
    <row r="44" spans="1:25" x14ac:dyDescent="0.25">
      <c r="A44" t="s">
        <v>933</v>
      </c>
      <c r="B44" t="s">
        <v>1112</v>
      </c>
      <c r="C44" t="s">
        <v>1078</v>
      </c>
      <c r="D44" t="s">
        <v>1079</v>
      </c>
      <c r="E44">
        <v>428573.83</v>
      </c>
      <c r="F44">
        <v>361746.23</v>
      </c>
      <c r="G44">
        <v>361746.23</v>
      </c>
      <c r="H44">
        <v>0</v>
      </c>
      <c r="I44" s="221">
        <v>66827.600000000006</v>
      </c>
      <c r="J44" s="219">
        <v>32143.03</v>
      </c>
      <c r="K44">
        <v>34684.57</v>
      </c>
      <c r="L44">
        <v>0</v>
      </c>
      <c r="M44">
        <v>0</v>
      </c>
      <c r="O44">
        <v>422480.42</v>
      </c>
      <c r="P44">
        <v>422480.42</v>
      </c>
      <c r="Q44">
        <v>356602.97</v>
      </c>
      <c r="R44" s="214">
        <v>356602.97</v>
      </c>
      <c r="S44" s="216">
        <v>0</v>
      </c>
      <c r="T44">
        <v>0</v>
      </c>
      <c r="U44" s="217">
        <v>65877.45</v>
      </c>
      <c r="V44">
        <v>31686.03</v>
      </c>
      <c r="W44">
        <v>34191.42</v>
      </c>
      <c r="X44">
        <v>0</v>
      </c>
      <c r="Y44">
        <v>0</v>
      </c>
    </row>
    <row r="45" spans="1:25" x14ac:dyDescent="0.25">
      <c r="A45" t="s">
        <v>933</v>
      </c>
      <c r="B45" t="s">
        <v>1112</v>
      </c>
      <c r="C45" t="s">
        <v>1078</v>
      </c>
      <c r="D45" t="s">
        <v>1079</v>
      </c>
      <c r="N45" t="s">
        <v>1088</v>
      </c>
      <c r="O45">
        <v>0</v>
      </c>
      <c r="P45">
        <v>0</v>
      </c>
      <c r="Q45">
        <v>0</v>
      </c>
      <c r="R45" s="214">
        <v>0</v>
      </c>
      <c r="S45" s="216">
        <v>0</v>
      </c>
      <c r="T45">
        <v>0</v>
      </c>
      <c r="U45" s="217">
        <v>-4.16</v>
      </c>
      <c r="V45">
        <v>-2</v>
      </c>
      <c r="W45">
        <v>-2.16</v>
      </c>
      <c r="X45">
        <v>0</v>
      </c>
      <c r="Y45">
        <v>0</v>
      </c>
    </row>
    <row r="46" spans="1:25" x14ac:dyDescent="0.25">
      <c r="A46" t="s">
        <v>933</v>
      </c>
      <c r="B46" t="s">
        <v>1112</v>
      </c>
      <c r="C46" t="s">
        <v>1078</v>
      </c>
      <c r="D46" t="s">
        <v>1079</v>
      </c>
      <c r="N46" t="s">
        <v>1088</v>
      </c>
      <c r="O46">
        <v>-26.68</v>
      </c>
      <c r="P46">
        <v>-26.68</v>
      </c>
      <c r="Q46">
        <v>0</v>
      </c>
      <c r="R46" s="214">
        <v>0</v>
      </c>
      <c r="S46" s="216">
        <v>0</v>
      </c>
      <c r="T46">
        <v>0</v>
      </c>
      <c r="U46" s="217">
        <v>0</v>
      </c>
      <c r="V46">
        <v>0</v>
      </c>
      <c r="W46">
        <v>0</v>
      </c>
      <c r="X46">
        <v>0</v>
      </c>
      <c r="Y46">
        <v>0</v>
      </c>
    </row>
    <row r="47" spans="1:25" x14ac:dyDescent="0.25">
      <c r="A47" t="s">
        <v>932</v>
      </c>
      <c r="B47" t="s">
        <v>196</v>
      </c>
      <c r="C47" t="s">
        <v>1081</v>
      </c>
      <c r="D47" t="s">
        <v>1079</v>
      </c>
      <c r="E47">
        <v>629529.59</v>
      </c>
      <c r="F47">
        <v>535100.15</v>
      </c>
      <c r="G47">
        <v>535100.15</v>
      </c>
      <c r="H47">
        <v>0</v>
      </c>
      <c r="I47" s="221">
        <v>94429.440000000002</v>
      </c>
      <c r="J47" s="219">
        <v>47214.720000000001</v>
      </c>
      <c r="K47">
        <v>47214.720000000001</v>
      </c>
      <c r="L47">
        <v>0</v>
      </c>
      <c r="M47">
        <v>0</v>
      </c>
      <c r="O47">
        <v>595255.19999999995</v>
      </c>
      <c r="P47">
        <v>595255.19999999995</v>
      </c>
      <c r="Q47">
        <v>505966.92</v>
      </c>
      <c r="R47" s="214">
        <v>505966.92</v>
      </c>
      <c r="S47" s="216">
        <v>0</v>
      </c>
      <c r="T47">
        <v>0</v>
      </c>
      <c r="U47" s="217">
        <v>87839.14</v>
      </c>
      <c r="V47">
        <v>43919.56</v>
      </c>
      <c r="W47">
        <v>43919.58</v>
      </c>
      <c r="X47">
        <v>0</v>
      </c>
      <c r="Y47">
        <v>0</v>
      </c>
    </row>
    <row r="48" spans="1:25" x14ac:dyDescent="0.25">
      <c r="A48" t="s">
        <v>935</v>
      </c>
      <c r="B48" t="s">
        <v>207</v>
      </c>
      <c r="C48" t="s">
        <v>1086</v>
      </c>
      <c r="D48" t="s">
        <v>1079</v>
      </c>
      <c r="E48">
        <v>855376.31</v>
      </c>
      <c r="F48">
        <v>657999.93000000005</v>
      </c>
      <c r="G48">
        <v>657999.93000000005</v>
      </c>
      <c r="H48">
        <v>0</v>
      </c>
      <c r="I48" s="221">
        <v>197376.38</v>
      </c>
      <c r="J48" s="219">
        <v>64153.22</v>
      </c>
      <c r="K48">
        <v>133223.16</v>
      </c>
      <c r="L48">
        <v>0</v>
      </c>
      <c r="M48">
        <v>0</v>
      </c>
      <c r="O48">
        <v>582132.35</v>
      </c>
      <c r="P48">
        <v>582132.35</v>
      </c>
      <c r="Q48">
        <v>493356.13</v>
      </c>
      <c r="R48" s="214">
        <v>493356.13</v>
      </c>
      <c r="S48" s="216">
        <v>0</v>
      </c>
      <c r="T48">
        <v>0</v>
      </c>
      <c r="U48" s="217">
        <v>88776.22</v>
      </c>
      <c r="V48">
        <v>28854.93</v>
      </c>
      <c r="W48">
        <v>59921.29</v>
      </c>
      <c r="X48">
        <v>0</v>
      </c>
      <c r="Y48">
        <v>0</v>
      </c>
    </row>
    <row r="49" spans="1:25" x14ac:dyDescent="0.25">
      <c r="A49" t="s">
        <v>930</v>
      </c>
      <c r="B49" t="s">
        <v>179</v>
      </c>
      <c r="C49" t="s">
        <v>1091</v>
      </c>
      <c r="D49" t="s">
        <v>1079</v>
      </c>
      <c r="E49">
        <v>338553.02</v>
      </c>
      <c r="F49">
        <v>287770.06</v>
      </c>
      <c r="G49">
        <v>287770.06</v>
      </c>
      <c r="H49">
        <v>0</v>
      </c>
      <c r="I49" s="221">
        <v>50782.96</v>
      </c>
      <c r="J49" s="219">
        <v>25391.47</v>
      </c>
      <c r="K49">
        <v>25391.49</v>
      </c>
      <c r="L49">
        <v>0</v>
      </c>
      <c r="M49">
        <v>0</v>
      </c>
      <c r="O49">
        <v>46296.49</v>
      </c>
      <c r="P49">
        <v>46296.49</v>
      </c>
      <c r="Q49">
        <v>39352.019999999997</v>
      </c>
      <c r="R49" s="214">
        <v>39352.019999999997</v>
      </c>
      <c r="S49" s="216">
        <v>0</v>
      </c>
      <c r="T49">
        <v>0</v>
      </c>
      <c r="U49" s="217">
        <v>1280.49</v>
      </c>
      <c r="V49">
        <v>640.24</v>
      </c>
      <c r="W49">
        <v>640.25</v>
      </c>
      <c r="X49">
        <v>0</v>
      </c>
      <c r="Y49">
        <v>0</v>
      </c>
    </row>
    <row r="50" spans="1:25" x14ac:dyDescent="0.25">
      <c r="A50" t="s">
        <v>918</v>
      </c>
      <c r="B50" t="s">
        <v>1113</v>
      </c>
      <c r="C50" t="s">
        <v>1078</v>
      </c>
      <c r="D50" t="s">
        <v>872</v>
      </c>
      <c r="E50">
        <v>985873.28</v>
      </c>
      <c r="F50">
        <v>550278</v>
      </c>
      <c r="G50">
        <v>492354</v>
      </c>
      <c r="H50">
        <v>57924</v>
      </c>
      <c r="I50" s="221">
        <v>435595.28</v>
      </c>
      <c r="J50" s="219">
        <v>0</v>
      </c>
      <c r="K50">
        <v>435595.28</v>
      </c>
      <c r="L50">
        <v>0</v>
      </c>
      <c r="M50">
        <v>0</v>
      </c>
      <c r="O50">
        <v>1146502.3799999999</v>
      </c>
      <c r="P50">
        <v>1146502.3799999999</v>
      </c>
      <c r="Q50">
        <v>550216.61</v>
      </c>
      <c r="R50" s="214">
        <v>492299.07</v>
      </c>
      <c r="S50" s="216">
        <v>57917.54</v>
      </c>
      <c r="T50">
        <v>57917.54</v>
      </c>
      <c r="U50" s="217">
        <v>435546.67</v>
      </c>
      <c r="V50">
        <v>0</v>
      </c>
      <c r="W50">
        <v>435546.67</v>
      </c>
      <c r="X50">
        <v>0</v>
      </c>
      <c r="Y50">
        <v>0</v>
      </c>
    </row>
    <row r="51" spans="1:25" x14ac:dyDescent="0.25">
      <c r="A51" t="s">
        <v>918</v>
      </c>
      <c r="B51" t="s">
        <v>1113</v>
      </c>
      <c r="C51" t="s">
        <v>1078</v>
      </c>
      <c r="D51" t="s">
        <v>872</v>
      </c>
      <c r="N51" t="s">
        <v>1088</v>
      </c>
      <c r="O51">
        <v>0</v>
      </c>
      <c r="P51">
        <v>0</v>
      </c>
      <c r="Q51">
        <v>0</v>
      </c>
      <c r="R51" s="214">
        <v>0</v>
      </c>
      <c r="S51" s="216">
        <v>0</v>
      </c>
      <c r="T51">
        <v>0</v>
      </c>
      <c r="U51" s="217">
        <v>-14470.93</v>
      </c>
      <c r="V51">
        <v>0</v>
      </c>
      <c r="W51">
        <v>-14470.93</v>
      </c>
      <c r="X51">
        <v>0</v>
      </c>
      <c r="Y51">
        <v>0</v>
      </c>
    </row>
    <row r="52" spans="1:25" x14ac:dyDescent="0.25">
      <c r="A52" t="s">
        <v>918</v>
      </c>
      <c r="B52" t="s">
        <v>1113</v>
      </c>
      <c r="C52" t="s">
        <v>1078</v>
      </c>
      <c r="D52" t="s">
        <v>872</v>
      </c>
      <c r="N52" t="s">
        <v>1088</v>
      </c>
      <c r="O52">
        <v>-14470.93</v>
      </c>
      <c r="P52">
        <v>-14470.93</v>
      </c>
      <c r="Q52">
        <v>0</v>
      </c>
      <c r="R52" s="214">
        <v>0</v>
      </c>
      <c r="S52" s="216">
        <v>0</v>
      </c>
      <c r="T52">
        <v>0</v>
      </c>
      <c r="U52" s="217">
        <v>0</v>
      </c>
      <c r="V52">
        <v>0</v>
      </c>
      <c r="W52">
        <v>0</v>
      </c>
      <c r="X52">
        <v>0</v>
      </c>
      <c r="Y52">
        <v>0</v>
      </c>
    </row>
    <row r="53" spans="1:25" x14ac:dyDescent="0.25">
      <c r="A53" t="s">
        <v>923</v>
      </c>
      <c r="B53" t="s">
        <v>1114</v>
      </c>
      <c r="C53" t="s">
        <v>1078</v>
      </c>
      <c r="D53" t="s">
        <v>1079</v>
      </c>
      <c r="E53">
        <v>948634.58</v>
      </c>
      <c r="F53">
        <v>870588</v>
      </c>
      <c r="G53">
        <v>799999.78</v>
      </c>
      <c r="H53">
        <v>70588.22</v>
      </c>
      <c r="I53" s="221">
        <v>78046.58</v>
      </c>
      <c r="J53" s="219">
        <v>0</v>
      </c>
      <c r="K53">
        <v>78046.58</v>
      </c>
      <c r="L53">
        <v>0</v>
      </c>
      <c r="M53">
        <v>0</v>
      </c>
      <c r="O53">
        <v>1127088.1399999999</v>
      </c>
      <c r="P53">
        <v>1127088.1399999999</v>
      </c>
      <c r="Q53">
        <v>868089.17</v>
      </c>
      <c r="R53" s="214">
        <v>797703.56</v>
      </c>
      <c r="S53" s="216">
        <v>70385.61</v>
      </c>
      <c r="T53">
        <v>70385.61</v>
      </c>
      <c r="U53" s="217">
        <v>77822.570000000007</v>
      </c>
      <c r="V53">
        <v>0</v>
      </c>
      <c r="W53">
        <v>77822.570000000007</v>
      </c>
      <c r="X53">
        <v>0</v>
      </c>
      <c r="Y53">
        <v>0</v>
      </c>
    </row>
    <row r="54" spans="1:25" x14ac:dyDescent="0.25">
      <c r="A54" t="s">
        <v>923</v>
      </c>
      <c r="B54" t="s">
        <v>1114</v>
      </c>
      <c r="C54" t="s">
        <v>1078</v>
      </c>
      <c r="D54" t="s">
        <v>1079</v>
      </c>
      <c r="N54" t="s">
        <v>1088</v>
      </c>
      <c r="O54">
        <v>0</v>
      </c>
      <c r="P54">
        <v>0</v>
      </c>
      <c r="Q54">
        <v>0</v>
      </c>
      <c r="R54" s="214">
        <v>0</v>
      </c>
      <c r="S54" s="216">
        <v>0</v>
      </c>
      <c r="T54">
        <v>-178.55</v>
      </c>
      <c r="U54" s="217">
        <v>-403.21</v>
      </c>
      <c r="V54">
        <v>0</v>
      </c>
      <c r="W54">
        <v>-403.21</v>
      </c>
      <c r="X54">
        <v>0</v>
      </c>
      <c r="Y54">
        <v>0</v>
      </c>
    </row>
    <row r="55" spans="1:25" x14ac:dyDescent="0.25">
      <c r="A55" t="s">
        <v>923</v>
      </c>
      <c r="B55" t="s">
        <v>1114</v>
      </c>
      <c r="C55" t="s">
        <v>1078</v>
      </c>
      <c r="D55" t="s">
        <v>1079</v>
      </c>
      <c r="N55" t="s">
        <v>1088</v>
      </c>
      <c r="O55">
        <v>-2605.37</v>
      </c>
      <c r="P55">
        <v>-2605.37</v>
      </c>
      <c r="Q55">
        <v>0</v>
      </c>
      <c r="R55" s="214">
        <v>0</v>
      </c>
      <c r="S55" s="216">
        <v>0</v>
      </c>
      <c r="T55">
        <v>0</v>
      </c>
      <c r="U55" s="217">
        <v>0</v>
      </c>
      <c r="V55">
        <v>0</v>
      </c>
      <c r="W55">
        <v>0</v>
      </c>
      <c r="X55">
        <v>0</v>
      </c>
      <c r="Y55">
        <v>0</v>
      </c>
    </row>
    <row r="56" spans="1:25" x14ac:dyDescent="0.25">
      <c r="A56" t="s">
        <v>923</v>
      </c>
      <c r="B56" t="s">
        <v>1114</v>
      </c>
      <c r="C56" t="s">
        <v>1078</v>
      </c>
      <c r="D56" t="s">
        <v>1079</v>
      </c>
      <c r="N56" t="s">
        <v>1088</v>
      </c>
      <c r="O56">
        <v>0</v>
      </c>
      <c r="P56">
        <v>0</v>
      </c>
      <c r="Q56">
        <v>0</v>
      </c>
      <c r="R56" s="214">
        <v>0</v>
      </c>
      <c r="S56" s="216">
        <v>0</v>
      </c>
      <c r="T56">
        <v>0</v>
      </c>
      <c r="U56" s="217">
        <v>-68567.759999999995</v>
      </c>
      <c r="V56">
        <v>0</v>
      </c>
      <c r="W56">
        <v>-68567.759999999995</v>
      </c>
      <c r="X56">
        <v>0</v>
      </c>
      <c r="Y56">
        <v>0</v>
      </c>
    </row>
    <row r="57" spans="1:25" x14ac:dyDescent="0.25">
      <c r="A57" t="s">
        <v>923</v>
      </c>
      <c r="B57" t="s">
        <v>1114</v>
      </c>
      <c r="C57" t="s">
        <v>1078</v>
      </c>
      <c r="D57" t="s">
        <v>1079</v>
      </c>
      <c r="N57" t="s">
        <v>1088</v>
      </c>
      <c r="O57">
        <v>-68567.759999999995</v>
      </c>
      <c r="P57">
        <v>-68567.759999999995</v>
      </c>
      <c r="Q57">
        <v>0</v>
      </c>
      <c r="R57" s="214">
        <v>0</v>
      </c>
      <c r="S57" s="216">
        <v>0</v>
      </c>
      <c r="T57">
        <v>0</v>
      </c>
      <c r="U57" s="217">
        <v>0</v>
      </c>
      <c r="V57">
        <v>0</v>
      </c>
      <c r="W57">
        <v>0</v>
      </c>
      <c r="X57">
        <v>0</v>
      </c>
      <c r="Y57">
        <v>0</v>
      </c>
    </row>
    <row r="58" spans="1:25" x14ac:dyDescent="0.25">
      <c r="A58" t="s">
        <v>917</v>
      </c>
      <c r="B58" t="s">
        <v>1115</v>
      </c>
      <c r="C58" t="s">
        <v>1087</v>
      </c>
      <c r="D58" t="s">
        <v>872</v>
      </c>
      <c r="E58">
        <v>672604.19</v>
      </c>
      <c r="F58">
        <v>622158.87</v>
      </c>
      <c r="G58">
        <v>571713.55000000005</v>
      </c>
      <c r="H58">
        <v>50445.32</v>
      </c>
      <c r="I58" s="221">
        <v>50445.32</v>
      </c>
      <c r="J58" s="219">
        <v>0</v>
      </c>
      <c r="K58">
        <v>50445.32</v>
      </c>
      <c r="L58">
        <v>0</v>
      </c>
      <c r="M58">
        <v>0</v>
      </c>
      <c r="O58">
        <v>947440.92</v>
      </c>
      <c r="P58">
        <v>947440.92</v>
      </c>
      <c r="Q58">
        <v>617382.84</v>
      </c>
      <c r="R58" s="214">
        <v>567324.77</v>
      </c>
      <c r="S58" s="216">
        <v>50058.07</v>
      </c>
      <c r="T58">
        <v>50058.07</v>
      </c>
      <c r="U58" s="217">
        <v>50058.080000000002</v>
      </c>
      <c r="V58">
        <v>0</v>
      </c>
      <c r="W58">
        <v>50058.080000000002</v>
      </c>
      <c r="X58">
        <v>0</v>
      </c>
      <c r="Y58">
        <v>0</v>
      </c>
    </row>
    <row r="59" spans="1:25" x14ac:dyDescent="0.25">
      <c r="A59" t="s">
        <v>916</v>
      </c>
      <c r="B59" t="s">
        <v>1116</v>
      </c>
      <c r="C59" t="s">
        <v>1087</v>
      </c>
      <c r="D59" t="s">
        <v>1079</v>
      </c>
      <c r="E59">
        <v>1142603.75</v>
      </c>
      <c r="F59">
        <v>958999</v>
      </c>
      <c r="G59">
        <v>881242</v>
      </c>
      <c r="H59">
        <v>77757</v>
      </c>
      <c r="I59" s="221">
        <v>183604.75</v>
      </c>
      <c r="J59" s="219">
        <v>0</v>
      </c>
      <c r="K59">
        <v>183604.75</v>
      </c>
      <c r="L59">
        <v>0</v>
      </c>
      <c r="M59">
        <v>0</v>
      </c>
      <c r="O59">
        <v>785522.73</v>
      </c>
      <c r="P59">
        <v>785522.73</v>
      </c>
      <c r="Q59">
        <v>625527.65</v>
      </c>
      <c r="R59" s="214">
        <v>574808.98</v>
      </c>
      <c r="S59" s="216">
        <v>50718.67</v>
      </c>
      <c r="T59">
        <v>33878.080000000002</v>
      </c>
      <c r="U59" s="217">
        <v>79995.08</v>
      </c>
      <c r="V59">
        <v>0</v>
      </c>
      <c r="W59">
        <v>79995.08</v>
      </c>
      <c r="X59">
        <v>0</v>
      </c>
      <c r="Y59">
        <v>0</v>
      </c>
    </row>
    <row r="60" spans="1:25" x14ac:dyDescent="0.25">
      <c r="A60" t="s">
        <v>925</v>
      </c>
      <c r="B60" t="s">
        <v>1117</v>
      </c>
      <c r="C60" t="s">
        <v>1081</v>
      </c>
      <c r="D60" t="s">
        <v>1079</v>
      </c>
      <c r="E60">
        <v>518360.92</v>
      </c>
      <c r="F60">
        <v>479483.85</v>
      </c>
      <c r="G60">
        <v>440606.78</v>
      </c>
      <c r="H60">
        <v>38877.07</v>
      </c>
      <c r="I60" s="221">
        <v>38877.07</v>
      </c>
      <c r="J60" s="219">
        <v>0</v>
      </c>
      <c r="K60">
        <v>38877.07</v>
      </c>
      <c r="L60">
        <v>0</v>
      </c>
      <c r="M60">
        <v>0</v>
      </c>
      <c r="O60">
        <v>502467.76</v>
      </c>
      <c r="P60">
        <v>502467.76</v>
      </c>
      <c r="Q60">
        <v>421857.67</v>
      </c>
      <c r="R60" s="214">
        <v>387653</v>
      </c>
      <c r="S60" s="216">
        <v>34204.67</v>
      </c>
      <c r="T60">
        <v>31610.080000000002</v>
      </c>
      <c r="U60" s="217">
        <v>31610.09</v>
      </c>
      <c r="V60">
        <v>0</v>
      </c>
      <c r="W60">
        <v>31610.09</v>
      </c>
      <c r="X60">
        <v>0</v>
      </c>
      <c r="Y60">
        <v>0</v>
      </c>
    </row>
    <row r="61" spans="1:25" x14ac:dyDescent="0.25">
      <c r="A61" t="s">
        <v>922</v>
      </c>
      <c r="B61" t="s">
        <v>1118</v>
      </c>
      <c r="C61" t="s">
        <v>1081</v>
      </c>
      <c r="D61" t="s">
        <v>1079</v>
      </c>
      <c r="E61">
        <v>1365071.92</v>
      </c>
      <c r="F61">
        <v>941867</v>
      </c>
      <c r="G61">
        <v>865499.4</v>
      </c>
      <c r="H61">
        <v>76367.600000000006</v>
      </c>
      <c r="I61" s="221">
        <v>423204.92</v>
      </c>
      <c r="J61" s="219">
        <v>0</v>
      </c>
      <c r="K61">
        <v>423204.92</v>
      </c>
      <c r="L61">
        <v>0</v>
      </c>
      <c r="M61">
        <v>0</v>
      </c>
      <c r="O61">
        <v>41617.379999999997</v>
      </c>
      <c r="P61">
        <v>41617.379999999997</v>
      </c>
      <c r="Q61">
        <v>34915.480000000003</v>
      </c>
      <c r="R61" s="214">
        <v>32084.49</v>
      </c>
      <c r="S61" s="216">
        <v>2830.99</v>
      </c>
      <c r="T61">
        <v>1209.3699999999999</v>
      </c>
      <c r="U61" s="217">
        <v>6701.9</v>
      </c>
      <c r="V61">
        <v>0</v>
      </c>
      <c r="W61">
        <v>6701.9</v>
      </c>
      <c r="X61">
        <v>0</v>
      </c>
      <c r="Y61">
        <v>0</v>
      </c>
    </row>
    <row r="62" spans="1:25" x14ac:dyDescent="0.25">
      <c r="A62" t="s">
        <v>920</v>
      </c>
      <c r="B62" t="s">
        <v>1119</v>
      </c>
      <c r="C62" t="s">
        <v>1081</v>
      </c>
      <c r="D62" t="s">
        <v>1079</v>
      </c>
      <c r="E62">
        <v>645806.42000000004</v>
      </c>
      <c r="F62">
        <v>580769</v>
      </c>
      <c r="G62">
        <v>533679.62</v>
      </c>
      <c r="H62">
        <v>47089.38</v>
      </c>
      <c r="I62" s="221">
        <v>65037.42</v>
      </c>
      <c r="J62" s="219">
        <v>0</v>
      </c>
      <c r="K62">
        <v>65037.42</v>
      </c>
      <c r="L62">
        <v>0</v>
      </c>
      <c r="M62">
        <v>0</v>
      </c>
      <c r="O62">
        <v>189037.9</v>
      </c>
      <c r="P62">
        <v>189037.9</v>
      </c>
      <c r="Q62">
        <v>187120.64000000001</v>
      </c>
      <c r="R62" s="214">
        <v>171948.7</v>
      </c>
      <c r="S62" s="216">
        <v>15171.94</v>
      </c>
      <c r="T62">
        <v>1388.16</v>
      </c>
      <c r="U62" s="217">
        <v>1917.26</v>
      </c>
      <c r="V62">
        <v>0</v>
      </c>
      <c r="W62">
        <v>1917.26</v>
      </c>
      <c r="X62">
        <v>0</v>
      </c>
      <c r="Y62">
        <v>0</v>
      </c>
    </row>
    <row r="63" spans="1:25" x14ac:dyDescent="0.25">
      <c r="A63" t="s">
        <v>921</v>
      </c>
      <c r="B63" t="s">
        <v>1120</v>
      </c>
      <c r="C63" t="s">
        <v>1078</v>
      </c>
      <c r="D63" t="s">
        <v>1079</v>
      </c>
      <c r="E63">
        <v>1137262.6599999999</v>
      </c>
      <c r="F63">
        <v>761765</v>
      </c>
      <c r="G63">
        <v>700000</v>
      </c>
      <c r="H63">
        <v>61765</v>
      </c>
      <c r="I63" s="221">
        <v>375497.66</v>
      </c>
      <c r="J63" s="219">
        <v>0</v>
      </c>
      <c r="K63">
        <v>375497.66</v>
      </c>
      <c r="L63">
        <v>0</v>
      </c>
      <c r="M63">
        <v>0</v>
      </c>
      <c r="O63">
        <v>242061.5</v>
      </c>
      <c r="P63">
        <v>242061.5</v>
      </c>
      <c r="Q63">
        <v>237593.55</v>
      </c>
      <c r="R63" s="214">
        <v>218329.12</v>
      </c>
      <c r="S63" s="216">
        <v>19264.43</v>
      </c>
      <c r="T63">
        <v>734.93</v>
      </c>
      <c r="U63" s="217">
        <v>4467.95</v>
      </c>
      <c r="V63">
        <v>0</v>
      </c>
      <c r="W63">
        <v>4467.95</v>
      </c>
      <c r="X63">
        <v>0</v>
      </c>
      <c r="Y63">
        <v>0</v>
      </c>
    </row>
    <row r="64" spans="1:25" x14ac:dyDescent="0.25">
      <c r="A64" t="s">
        <v>924</v>
      </c>
      <c r="B64" t="s">
        <v>1121</v>
      </c>
      <c r="C64" t="s">
        <v>1078</v>
      </c>
      <c r="D64" t="s">
        <v>1079</v>
      </c>
      <c r="E64">
        <v>530184.80000000005</v>
      </c>
      <c r="F64">
        <v>352265</v>
      </c>
      <c r="G64">
        <v>323702.96999999997</v>
      </c>
      <c r="H64">
        <v>28562.03</v>
      </c>
      <c r="I64" s="221">
        <v>177919.8</v>
      </c>
      <c r="J64" s="219">
        <v>0</v>
      </c>
      <c r="K64">
        <v>177919.8</v>
      </c>
      <c r="L64">
        <v>0</v>
      </c>
      <c r="M64">
        <v>0</v>
      </c>
      <c r="O64">
        <v>10732.98</v>
      </c>
      <c r="P64">
        <v>10732.98</v>
      </c>
      <c r="Q64">
        <v>7131.2</v>
      </c>
      <c r="R64" s="214">
        <v>6552.99</v>
      </c>
      <c r="S64" s="216">
        <v>578.21</v>
      </c>
      <c r="T64">
        <v>578.21</v>
      </c>
      <c r="U64" s="217">
        <v>3601.78</v>
      </c>
      <c r="V64">
        <v>0</v>
      </c>
      <c r="W64">
        <v>3601.78</v>
      </c>
      <c r="X64">
        <v>0</v>
      </c>
      <c r="Y64">
        <v>0</v>
      </c>
    </row>
    <row r="65" spans="1:25" x14ac:dyDescent="0.25">
      <c r="A65" t="s">
        <v>926</v>
      </c>
      <c r="B65" t="s">
        <v>1122</v>
      </c>
      <c r="C65" t="s">
        <v>1091</v>
      </c>
      <c r="D65" t="s">
        <v>872</v>
      </c>
      <c r="E65">
        <v>280999.21000000002</v>
      </c>
      <c r="F65">
        <v>259924.26</v>
      </c>
      <c r="G65">
        <v>238849.32</v>
      </c>
      <c r="H65">
        <v>21074.94</v>
      </c>
      <c r="I65" s="221">
        <v>21074.95</v>
      </c>
      <c r="J65" s="219">
        <v>0</v>
      </c>
      <c r="K65">
        <v>21074.95</v>
      </c>
      <c r="L65">
        <v>0</v>
      </c>
      <c r="M65">
        <v>0</v>
      </c>
      <c r="O65">
        <v>358976.49</v>
      </c>
      <c r="P65">
        <v>358976.49</v>
      </c>
      <c r="Q65">
        <v>259924.26</v>
      </c>
      <c r="R65" s="214">
        <v>238849.32</v>
      </c>
      <c r="S65" s="216">
        <v>21074.94</v>
      </c>
      <c r="T65">
        <v>21074.94</v>
      </c>
      <c r="U65" s="217">
        <v>21074.95</v>
      </c>
      <c r="V65">
        <v>0</v>
      </c>
      <c r="W65">
        <v>21074.95</v>
      </c>
      <c r="X65">
        <v>0</v>
      </c>
      <c r="Y65">
        <v>0</v>
      </c>
    </row>
    <row r="66" spans="1:25" x14ac:dyDescent="0.25">
      <c r="A66" t="s">
        <v>1007</v>
      </c>
      <c r="B66" t="s">
        <v>1123</v>
      </c>
      <c r="C66" t="s">
        <v>1091</v>
      </c>
      <c r="D66" t="s">
        <v>872</v>
      </c>
      <c r="E66">
        <v>70588</v>
      </c>
      <c r="F66">
        <v>59999.8</v>
      </c>
      <c r="G66">
        <v>59999.8</v>
      </c>
      <c r="H66">
        <v>0</v>
      </c>
      <c r="I66" s="221">
        <v>10588.2</v>
      </c>
      <c r="J66" s="219">
        <v>0</v>
      </c>
      <c r="K66">
        <v>10588.2</v>
      </c>
      <c r="L66">
        <v>0</v>
      </c>
      <c r="M66">
        <v>0</v>
      </c>
      <c r="O66">
        <v>76366</v>
      </c>
      <c r="P66">
        <v>76366</v>
      </c>
      <c r="Q66">
        <v>59999.8</v>
      </c>
      <c r="R66" s="214">
        <v>59999.8</v>
      </c>
      <c r="S66" s="216">
        <v>0</v>
      </c>
      <c r="T66">
        <v>0</v>
      </c>
      <c r="U66" s="217">
        <v>10588.2</v>
      </c>
      <c r="V66">
        <v>0</v>
      </c>
      <c r="W66">
        <v>10588.2</v>
      </c>
      <c r="X66">
        <v>0</v>
      </c>
      <c r="Y66">
        <v>0</v>
      </c>
    </row>
    <row r="67" spans="1:25" x14ac:dyDescent="0.25">
      <c r="A67" t="s">
        <v>1009</v>
      </c>
      <c r="B67" t="s">
        <v>643</v>
      </c>
      <c r="C67" t="s">
        <v>1078</v>
      </c>
      <c r="D67" t="s">
        <v>872</v>
      </c>
      <c r="E67">
        <v>263922.88</v>
      </c>
      <c r="F67">
        <v>224334.44</v>
      </c>
      <c r="G67">
        <v>224334.44</v>
      </c>
      <c r="H67">
        <v>0</v>
      </c>
      <c r="I67" s="221">
        <v>39588.44</v>
      </c>
      <c r="J67" s="219">
        <v>0</v>
      </c>
      <c r="K67">
        <v>39588.44</v>
      </c>
      <c r="L67">
        <v>0</v>
      </c>
      <c r="M67">
        <v>0</v>
      </c>
      <c r="O67">
        <v>600139.01</v>
      </c>
      <c r="P67">
        <v>600139.01</v>
      </c>
      <c r="Q67">
        <v>224334.44</v>
      </c>
      <c r="R67" s="214">
        <v>224334.44</v>
      </c>
      <c r="S67" s="216">
        <v>0</v>
      </c>
      <c r="T67">
        <v>0</v>
      </c>
      <c r="U67" s="217">
        <v>39588.44</v>
      </c>
      <c r="V67">
        <v>0</v>
      </c>
      <c r="W67">
        <v>39588.44</v>
      </c>
      <c r="X67">
        <v>0</v>
      </c>
      <c r="Y67">
        <v>0</v>
      </c>
    </row>
    <row r="68" spans="1:25" x14ac:dyDescent="0.25">
      <c r="A68" t="s">
        <v>1009</v>
      </c>
      <c r="B68" t="s">
        <v>643</v>
      </c>
      <c r="C68" t="s">
        <v>1078</v>
      </c>
      <c r="D68" t="s">
        <v>872</v>
      </c>
      <c r="N68" t="s">
        <v>1124</v>
      </c>
      <c r="O68">
        <v>0</v>
      </c>
      <c r="P68">
        <v>0</v>
      </c>
      <c r="Q68">
        <v>0</v>
      </c>
      <c r="R68" s="214">
        <v>0</v>
      </c>
      <c r="S68" s="216">
        <v>0</v>
      </c>
      <c r="T68">
        <v>0</v>
      </c>
      <c r="U68" s="217">
        <v>-50782.78</v>
      </c>
      <c r="V68">
        <v>0</v>
      </c>
      <c r="W68">
        <v>-50782.78</v>
      </c>
      <c r="X68">
        <v>0</v>
      </c>
      <c r="Y68">
        <v>0</v>
      </c>
    </row>
    <row r="69" spans="1:25" x14ac:dyDescent="0.25">
      <c r="A69" t="s">
        <v>1009</v>
      </c>
      <c r="B69" t="s">
        <v>643</v>
      </c>
      <c r="C69" t="s">
        <v>1078</v>
      </c>
      <c r="D69" t="s">
        <v>872</v>
      </c>
      <c r="N69" t="s">
        <v>1124</v>
      </c>
      <c r="O69">
        <v>0</v>
      </c>
      <c r="P69">
        <v>0</v>
      </c>
      <c r="Q69">
        <v>0</v>
      </c>
      <c r="R69" s="214">
        <v>0</v>
      </c>
      <c r="S69" s="216">
        <v>0</v>
      </c>
      <c r="T69">
        <v>0</v>
      </c>
      <c r="U69" s="217">
        <v>0</v>
      </c>
      <c r="V69">
        <v>0</v>
      </c>
      <c r="W69">
        <v>0</v>
      </c>
      <c r="X69">
        <v>0</v>
      </c>
      <c r="Y69">
        <v>0</v>
      </c>
    </row>
    <row r="70" spans="1:25" x14ac:dyDescent="0.25">
      <c r="A70" t="s">
        <v>1008</v>
      </c>
      <c r="B70" t="s">
        <v>639</v>
      </c>
      <c r="C70" t="s">
        <v>1081</v>
      </c>
      <c r="D70" t="s">
        <v>1079</v>
      </c>
      <c r="E70">
        <v>589242.18000000005</v>
      </c>
      <c r="F70">
        <v>420000</v>
      </c>
      <c r="G70">
        <v>420000</v>
      </c>
      <c r="H70">
        <v>0</v>
      </c>
      <c r="I70" s="221">
        <v>169242.18</v>
      </c>
      <c r="J70" s="219">
        <v>0</v>
      </c>
      <c r="K70">
        <v>148249.18</v>
      </c>
      <c r="L70">
        <v>20993</v>
      </c>
      <c r="M70">
        <v>0</v>
      </c>
      <c r="O70">
        <v>454424.28</v>
      </c>
      <c r="P70">
        <v>454424.28</v>
      </c>
      <c r="Q70">
        <v>360094.24</v>
      </c>
      <c r="R70" s="214">
        <v>360094.24</v>
      </c>
      <c r="S70" s="216">
        <v>0</v>
      </c>
      <c r="T70">
        <v>0</v>
      </c>
      <c r="U70" s="217">
        <v>94330.04</v>
      </c>
      <c r="V70">
        <v>0</v>
      </c>
      <c r="W70">
        <v>82629.23</v>
      </c>
      <c r="X70">
        <v>11700.81</v>
      </c>
      <c r="Y70">
        <v>0</v>
      </c>
    </row>
    <row r="71" spans="1:25" x14ac:dyDescent="0.25">
      <c r="A71" t="s">
        <v>1010</v>
      </c>
      <c r="B71" t="s">
        <v>1125</v>
      </c>
      <c r="C71" t="s">
        <v>1126</v>
      </c>
      <c r="D71" t="s">
        <v>1079</v>
      </c>
      <c r="E71">
        <v>797588.28</v>
      </c>
      <c r="F71">
        <v>636853.67000000004</v>
      </c>
      <c r="G71">
        <v>636853.67000000004</v>
      </c>
      <c r="H71">
        <v>0</v>
      </c>
      <c r="I71" s="221">
        <v>160734.60999999999</v>
      </c>
      <c r="J71" s="219">
        <v>0</v>
      </c>
      <c r="K71">
        <v>160734.60999999999</v>
      </c>
      <c r="L71">
        <v>0</v>
      </c>
      <c r="M71">
        <v>0</v>
      </c>
      <c r="O71">
        <v>578357.26</v>
      </c>
      <c r="P71">
        <v>578357.26</v>
      </c>
      <c r="Q71">
        <v>492032.22</v>
      </c>
      <c r="R71" s="214">
        <v>492032.22</v>
      </c>
      <c r="S71" s="216">
        <v>0</v>
      </c>
      <c r="T71">
        <v>0</v>
      </c>
      <c r="U71" s="217">
        <v>86325.04</v>
      </c>
      <c r="V71">
        <v>0</v>
      </c>
      <c r="W71">
        <v>86325.04</v>
      </c>
      <c r="X71">
        <v>0</v>
      </c>
      <c r="Y71">
        <v>0</v>
      </c>
    </row>
    <row r="72" spans="1:25" x14ac:dyDescent="0.25">
      <c r="A72" t="s">
        <v>1011</v>
      </c>
      <c r="B72" t="s">
        <v>650</v>
      </c>
      <c r="C72" t="s">
        <v>1127</v>
      </c>
      <c r="D72" t="s">
        <v>1079</v>
      </c>
      <c r="E72">
        <v>4000000</v>
      </c>
      <c r="F72">
        <v>3400000</v>
      </c>
      <c r="G72">
        <v>3400000</v>
      </c>
      <c r="H72">
        <v>0</v>
      </c>
      <c r="I72" s="221">
        <v>600000</v>
      </c>
      <c r="J72" s="219">
        <v>600000</v>
      </c>
      <c r="K72">
        <v>0</v>
      </c>
      <c r="L72">
        <v>0</v>
      </c>
      <c r="M72">
        <v>0</v>
      </c>
      <c r="O72">
        <v>1454296.68</v>
      </c>
      <c r="P72">
        <v>1454296.68</v>
      </c>
      <c r="Q72">
        <v>1294748.0900000001</v>
      </c>
      <c r="R72" s="214">
        <v>1294748.0900000001</v>
      </c>
      <c r="S72" s="216">
        <v>0</v>
      </c>
      <c r="T72">
        <v>0</v>
      </c>
      <c r="U72" s="217">
        <v>159548.59</v>
      </c>
      <c r="V72">
        <v>159548.59</v>
      </c>
      <c r="W72">
        <v>0</v>
      </c>
      <c r="X72">
        <v>0</v>
      </c>
      <c r="Y72">
        <v>0</v>
      </c>
    </row>
    <row r="73" spans="1:25" x14ac:dyDescent="0.25">
      <c r="A73" t="s">
        <v>1012</v>
      </c>
      <c r="B73" t="s">
        <v>655</v>
      </c>
      <c r="C73" t="s">
        <v>1128</v>
      </c>
      <c r="D73" t="s">
        <v>1079</v>
      </c>
      <c r="E73">
        <v>30195</v>
      </c>
      <c r="F73">
        <v>25665</v>
      </c>
      <c r="G73">
        <v>25665</v>
      </c>
      <c r="H73">
        <v>0</v>
      </c>
      <c r="I73" s="221">
        <v>4530</v>
      </c>
      <c r="J73" s="219">
        <v>0</v>
      </c>
      <c r="K73">
        <v>4530</v>
      </c>
      <c r="L73">
        <v>0</v>
      </c>
      <c r="M73">
        <v>0</v>
      </c>
      <c r="O73">
        <v>20069.400000000001</v>
      </c>
      <c r="P73">
        <v>20069.400000000001</v>
      </c>
      <c r="Q73">
        <v>17058.490000000002</v>
      </c>
      <c r="R73" s="214">
        <v>17058.490000000002</v>
      </c>
      <c r="S73" s="216">
        <v>0</v>
      </c>
      <c r="T73">
        <v>0</v>
      </c>
      <c r="U73" s="217">
        <v>3010.91</v>
      </c>
      <c r="V73">
        <v>0</v>
      </c>
      <c r="W73">
        <v>3010.91</v>
      </c>
      <c r="X73">
        <v>0</v>
      </c>
      <c r="Y73">
        <v>0</v>
      </c>
    </row>
    <row r="74" spans="1:25" x14ac:dyDescent="0.25">
      <c r="A74" t="s">
        <v>999</v>
      </c>
      <c r="B74" t="s">
        <v>603</v>
      </c>
      <c r="C74" t="s">
        <v>1129</v>
      </c>
      <c r="D74" t="s">
        <v>872</v>
      </c>
      <c r="E74">
        <v>50888</v>
      </c>
      <c r="F74">
        <v>43254.8</v>
      </c>
      <c r="G74">
        <v>43254.8</v>
      </c>
      <c r="H74">
        <v>0</v>
      </c>
      <c r="I74" s="221">
        <v>7633.2</v>
      </c>
      <c r="J74" s="219">
        <v>0</v>
      </c>
      <c r="K74">
        <v>7633.2</v>
      </c>
      <c r="L74">
        <v>0</v>
      </c>
      <c r="M74">
        <v>0</v>
      </c>
      <c r="O74">
        <v>47799.03</v>
      </c>
      <c r="P74">
        <v>47799.03</v>
      </c>
      <c r="Q74">
        <v>32078.35</v>
      </c>
      <c r="R74" s="214">
        <v>32078.35</v>
      </c>
      <c r="S74" s="216">
        <v>0</v>
      </c>
      <c r="T74">
        <v>0</v>
      </c>
      <c r="U74" s="217">
        <v>5660.89</v>
      </c>
      <c r="V74">
        <v>0</v>
      </c>
      <c r="W74">
        <v>5660.89</v>
      </c>
      <c r="X74">
        <v>0</v>
      </c>
      <c r="Y74">
        <v>0</v>
      </c>
    </row>
    <row r="75" spans="1:25" x14ac:dyDescent="0.25">
      <c r="A75" t="s">
        <v>998</v>
      </c>
      <c r="B75" t="s">
        <v>599</v>
      </c>
      <c r="C75" t="s">
        <v>1130</v>
      </c>
      <c r="D75" t="s">
        <v>1079</v>
      </c>
      <c r="E75">
        <v>70618.14</v>
      </c>
      <c r="F75">
        <v>60025.41</v>
      </c>
      <c r="G75">
        <v>60025.41</v>
      </c>
      <c r="H75">
        <v>0</v>
      </c>
      <c r="I75" s="221">
        <v>10592.73</v>
      </c>
      <c r="J75" s="219">
        <v>0</v>
      </c>
      <c r="K75">
        <v>10592.73</v>
      </c>
      <c r="L75">
        <v>0</v>
      </c>
      <c r="M75">
        <v>0</v>
      </c>
      <c r="O75">
        <v>46625.48</v>
      </c>
      <c r="P75">
        <v>46625.48</v>
      </c>
      <c r="Q75">
        <v>39975.019999999997</v>
      </c>
      <c r="R75" s="214">
        <v>39975.019999999997</v>
      </c>
      <c r="S75" s="216">
        <v>0</v>
      </c>
      <c r="T75">
        <v>0</v>
      </c>
      <c r="U75" s="217">
        <v>6650.46</v>
      </c>
      <c r="V75">
        <v>0</v>
      </c>
      <c r="W75">
        <v>6650.46</v>
      </c>
      <c r="X75">
        <v>0</v>
      </c>
      <c r="Y75">
        <v>0</v>
      </c>
    </row>
    <row r="76" spans="1:25" x14ac:dyDescent="0.25">
      <c r="A76" t="s">
        <v>1000</v>
      </c>
      <c r="B76" t="s">
        <v>1131</v>
      </c>
      <c r="C76" t="s">
        <v>1086</v>
      </c>
      <c r="D76" t="s">
        <v>1079</v>
      </c>
      <c r="E76">
        <v>1029164.59</v>
      </c>
      <c r="F76">
        <v>635473.81000000006</v>
      </c>
      <c r="G76">
        <v>635473.81000000006</v>
      </c>
      <c r="H76">
        <v>0</v>
      </c>
      <c r="I76" s="221">
        <v>393690.78</v>
      </c>
      <c r="J76" s="219">
        <v>0</v>
      </c>
      <c r="K76">
        <v>393690.78</v>
      </c>
      <c r="L76">
        <v>0</v>
      </c>
      <c r="M76">
        <v>0</v>
      </c>
      <c r="O76">
        <v>155630</v>
      </c>
      <c r="P76">
        <v>155630</v>
      </c>
      <c r="Q76">
        <v>154196.29</v>
      </c>
      <c r="R76" s="214">
        <v>154196.29</v>
      </c>
      <c r="S76" s="216">
        <v>0</v>
      </c>
      <c r="T76">
        <v>0</v>
      </c>
      <c r="U76" s="217">
        <v>1433.71</v>
      </c>
      <c r="V76">
        <v>0</v>
      </c>
      <c r="W76">
        <v>1433.71</v>
      </c>
      <c r="X76">
        <v>0</v>
      </c>
      <c r="Y76">
        <v>0</v>
      </c>
    </row>
    <row r="77" spans="1:25" x14ac:dyDescent="0.25">
      <c r="A77" t="s">
        <v>1006</v>
      </c>
      <c r="B77" t="s">
        <v>628</v>
      </c>
      <c r="C77" t="s">
        <v>1083</v>
      </c>
      <c r="D77" t="s">
        <v>1079</v>
      </c>
      <c r="E77">
        <v>498295</v>
      </c>
      <c r="F77">
        <v>423550.75</v>
      </c>
      <c r="G77">
        <v>423550.75</v>
      </c>
      <c r="H77">
        <v>0</v>
      </c>
      <c r="I77" s="221">
        <v>74744.25</v>
      </c>
      <c r="J77" s="219">
        <v>0</v>
      </c>
      <c r="K77">
        <v>74744.25</v>
      </c>
      <c r="L77">
        <v>0</v>
      </c>
      <c r="M77">
        <v>0</v>
      </c>
      <c r="O77">
        <v>623265.43000000005</v>
      </c>
      <c r="P77">
        <v>623265.43000000005</v>
      </c>
      <c r="Q77">
        <v>421770.37</v>
      </c>
      <c r="R77" s="214">
        <v>421770.37</v>
      </c>
      <c r="S77" s="216">
        <v>0</v>
      </c>
      <c r="T77">
        <v>0</v>
      </c>
      <c r="U77" s="217">
        <v>74430.06</v>
      </c>
      <c r="V77">
        <v>0</v>
      </c>
      <c r="W77">
        <v>74430.06</v>
      </c>
      <c r="X77">
        <v>0</v>
      </c>
      <c r="Y77">
        <v>0</v>
      </c>
    </row>
    <row r="78" spans="1:25" x14ac:dyDescent="0.25">
      <c r="A78" t="s">
        <v>1003</v>
      </c>
      <c r="B78" t="s">
        <v>619</v>
      </c>
      <c r="C78" t="s">
        <v>1087</v>
      </c>
      <c r="D78" t="s">
        <v>1079</v>
      </c>
      <c r="E78">
        <v>301122.82</v>
      </c>
      <c r="F78">
        <v>255954.39</v>
      </c>
      <c r="G78">
        <v>255954.39</v>
      </c>
      <c r="H78">
        <v>0</v>
      </c>
      <c r="I78" s="221">
        <v>45168.43</v>
      </c>
      <c r="J78" s="219">
        <v>0</v>
      </c>
      <c r="K78">
        <v>45168.43</v>
      </c>
      <c r="L78">
        <v>0</v>
      </c>
      <c r="M78">
        <v>0</v>
      </c>
      <c r="O78">
        <v>163937.44</v>
      </c>
      <c r="P78">
        <v>163937.44</v>
      </c>
      <c r="Q78">
        <v>135139.32</v>
      </c>
      <c r="R78" s="214">
        <v>135139.32</v>
      </c>
      <c r="S78" s="216">
        <v>0</v>
      </c>
      <c r="T78">
        <v>0</v>
      </c>
      <c r="U78" s="217">
        <v>18290.62</v>
      </c>
      <c r="V78">
        <v>0</v>
      </c>
      <c r="W78">
        <v>18290.62</v>
      </c>
      <c r="X78">
        <v>0</v>
      </c>
      <c r="Y78">
        <v>0</v>
      </c>
    </row>
    <row r="79" spans="1:25" x14ac:dyDescent="0.25">
      <c r="A79" t="s">
        <v>1002</v>
      </c>
      <c r="B79" t="s">
        <v>1132</v>
      </c>
      <c r="C79" t="s">
        <v>1086</v>
      </c>
      <c r="D79" t="s">
        <v>1079</v>
      </c>
      <c r="E79">
        <v>429341.5</v>
      </c>
      <c r="F79">
        <v>364940.27</v>
      </c>
      <c r="G79">
        <v>364940.27</v>
      </c>
      <c r="H79">
        <v>0</v>
      </c>
      <c r="I79" s="221">
        <v>64401.23</v>
      </c>
      <c r="J79" s="219">
        <v>0</v>
      </c>
      <c r="K79">
        <v>64401.23</v>
      </c>
      <c r="L79">
        <v>0</v>
      </c>
      <c r="M79">
        <v>0</v>
      </c>
      <c r="O79">
        <v>303144.90999999997</v>
      </c>
      <c r="P79">
        <v>303144.90999999997</v>
      </c>
      <c r="Q79">
        <v>221155.83</v>
      </c>
      <c r="R79" s="214">
        <v>221155.83</v>
      </c>
      <c r="S79" s="216">
        <v>0</v>
      </c>
      <c r="T79">
        <v>0</v>
      </c>
      <c r="U79" s="217">
        <v>31845.14</v>
      </c>
      <c r="V79">
        <v>0</v>
      </c>
      <c r="W79">
        <v>31845.14</v>
      </c>
      <c r="X79">
        <v>0</v>
      </c>
      <c r="Y79">
        <v>0</v>
      </c>
    </row>
    <row r="80" spans="1:25" x14ac:dyDescent="0.25">
      <c r="A80" t="s">
        <v>1001</v>
      </c>
      <c r="B80" t="s">
        <v>612</v>
      </c>
      <c r="C80" t="s">
        <v>1091</v>
      </c>
      <c r="D80" t="s">
        <v>1079</v>
      </c>
      <c r="E80">
        <v>431079.82</v>
      </c>
      <c r="F80">
        <v>366417.84</v>
      </c>
      <c r="G80">
        <v>366417.84</v>
      </c>
      <c r="H80">
        <v>0</v>
      </c>
      <c r="I80" s="221">
        <v>64661.98</v>
      </c>
      <c r="J80" s="219">
        <v>0</v>
      </c>
      <c r="K80">
        <v>64661.98</v>
      </c>
      <c r="L80">
        <v>0</v>
      </c>
      <c r="M80">
        <v>0</v>
      </c>
      <c r="O80">
        <v>365681.45</v>
      </c>
      <c r="P80">
        <v>365681.45</v>
      </c>
      <c r="Q80">
        <v>287318.03000000003</v>
      </c>
      <c r="R80" s="214">
        <v>287318.03000000003</v>
      </c>
      <c r="S80" s="216">
        <v>0</v>
      </c>
      <c r="T80">
        <v>0</v>
      </c>
      <c r="U80" s="217">
        <v>38363.42</v>
      </c>
      <c r="V80">
        <v>0</v>
      </c>
      <c r="W80">
        <v>38363.42</v>
      </c>
      <c r="X80">
        <v>0</v>
      </c>
      <c r="Y80">
        <v>0</v>
      </c>
    </row>
    <row r="81" spans="1:25" x14ac:dyDescent="0.25">
      <c r="A81" t="s">
        <v>1004</v>
      </c>
      <c r="B81" t="s">
        <v>622</v>
      </c>
      <c r="C81" t="s">
        <v>1078</v>
      </c>
      <c r="D81" t="s">
        <v>1079</v>
      </c>
      <c r="E81">
        <v>577222.22</v>
      </c>
      <c r="F81">
        <v>490585</v>
      </c>
      <c r="G81">
        <v>490585</v>
      </c>
      <c r="H81">
        <v>0</v>
      </c>
      <c r="I81" s="221">
        <v>86637.22</v>
      </c>
      <c r="J81" s="219">
        <v>0</v>
      </c>
      <c r="K81">
        <v>86637.22</v>
      </c>
      <c r="L81">
        <v>0</v>
      </c>
      <c r="M81">
        <v>0</v>
      </c>
      <c r="O81">
        <v>348684.7</v>
      </c>
      <c r="P81">
        <v>348684.7</v>
      </c>
      <c r="Q81">
        <v>296349.44</v>
      </c>
      <c r="R81" s="214">
        <v>296349.44</v>
      </c>
      <c r="S81" s="216">
        <v>0</v>
      </c>
      <c r="T81">
        <v>0</v>
      </c>
      <c r="U81" s="217">
        <v>52335.26</v>
      </c>
      <c r="V81">
        <v>0</v>
      </c>
      <c r="W81">
        <v>52335.26</v>
      </c>
      <c r="X81">
        <v>0</v>
      </c>
      <c r="Y81">
        <v>0</v>
      </c>
    </row>
    <row r="82" spans="1:25" x14ac:dyDescent="0.25">
      <c r="A82" t="s">
        <v>1005</v>
      </c>
      <c r="B82" t="s">
        <v>625</v>
      </c>
      <c r="C82" t="s">
        <v>1081</v>
      </c>
      <c r="D82" t="s">
        <v>1079</v>
      </c>
      <c r="E82">
        <v>344844.84</v>
      </c>
      <c r="F82">
        <v>293118</v>
      </c>
      <c r="G82">
        <v>293118</v>
      </c>
      <c r="H82">
        <v>0</v>
      </c>
      <c r="I82" s="221">
        <v>51726.84</v>
      </c>
      <c r="J82" s="219">
        <v>0</v>
      </c>
      <c r="K82">
        <v>51726.84</v>
      </c>
      <c r="L82">
        <v>0</v>
      </c>
      <c r="M82">
        <v>0</v>
      </c>
      <c r="O82">
        <v>423338.88</v>
      </c>
      <c r="P82">
        <v>423338.88</v>
      </c>
      <c r="Q82">
        <v>267223.09999999998</v>
      </c>
      <c r="R82" s="214">
        <v>267223.09999999998</v>
      </c>
      <c r="S82" s="216">
        <v>0</v>
      </c>
      <c r="T82">
        <v>0</v>
      </c>
      <c r="U82" s="217">
        <v>46715.93</v>
      </c>
      <c r="V82">
        <v>0</v>
      </c>
      <c r="W82">
        <v>46715.93</v>
      </c>
      <c r="X82">
        <v>0</v>
      </c>
      <c r="Y82">
        <v>0</v>
      </c>
    </row>
    <row r="83" spans="1:25" x14ac:dyDescent="0.25">
      <c r="A83" t="s">
        <v>979</v>
      </c>
      <c r="B83" t="s">
        <v>505</v>
      </c>
      <c r="C83" t="s">
        <v>1133</v>
      </c>
      <c r="D83" t="s">
        <v>1079</v>
      </c>
      <c r="E83">
        <v>86991.46</v>
      </c>
      <c r="F83">
        <v>80467.100000000006</v>
      </c>
      <c r="G83">
        <v>73942.740000000005</v>
      </c>
      <c r="H83">
        <v>6524.36</v>
      </c>
      <c r="I83" s="221">
        <v>6524.36</v>
      </c>
      <c r="J83" s="219">
        <v>0</v>
      </c>
      <c r="K83">
        <v>0</v>
      </c>
      <c r="L83">
        <v>0</v>
      </c>
      <c r="M83">
        <v>6524.36</v>
      </c>
      <c r="O83">
        <v>38793.25</v>
      </c>
      <c r="P83">
        <v>35883.760000000002</v>
      </c>
      <c r="Q83">
        <v>35883.75</v>
      </c>
      <c r="R83" s="214">
        <v>32974.26</v>
      </c>
      <c r="S83" s="216">
        <v>2909.49</v>
      </c>
      <c r="T83">
        <v>2909.49</v>
      </c>
      <c r="U83" s="217">
        <v>2909.5</v>
      </c>
      <c r="V83">
        <v>0</v>
      </c>
      <c r="W83">
        <v>0</v>
      </c>
      <c r="X83">
        <v>0</v>
      </c>
      <c r="Y83">
        <v>2909.5</v>
      </c>
    </row>
    <row r="84" spans="1:25" x14ac:dyDescent="0.25">
      <c r="A84" t="s">
        <v>983</v>
      </c>
      <c r="B84" t="s">
        <v>521</v>
      </c>
      <c r="C84" t="s">
        <v>1134</v>
      </c>
      <c r="D84" t="s">
        <v>1079</v>
      </c>
      <c r="E84">
        <v>153580</v>
      </c>
      <c r="F84">
        <v>142061.5</v>
      </c>
      <c r="G84">
        <v>130543</v>
      </c>
      <c r="H84">
        <v>11518.5</v>
      </c>
      <c r="I84" s="221">
        <v>11518.5</v>
      </c>
      <c r="J84" s="219">
        <v>11518.5</v>
      </c>
      <c r="K84">
        <v>0</v>
      </c>
      <c r="L84">
        <v>0</v>
      </c>
      <c r="M84">
        <v>0</v>
      </c>
      <c r="O84">
        <v>8027.49</v>
      </c>
      <c r="P84">
        <v>8027.49</v>
      </c>
      <c r="Q84">
        <v>7425.43</v>
      </c>
      <c r="R84" s="214">
        <v>6823.37</v>
      </c>
      <c r="S84" s="216">
        <v>602.05999999999995</v>
      </c>
      <c r="T84">
        <v>602.05999999999995</v>
      </c>
      <c r="U84" s="217">
        <v>602.05999999999995</v>
      </c>
      <c r="V84">
        <v>602.05999999999995</v>
      </c>
      <c r="W84">
        <v>0</v>
      </c>
      <c r="X84">
        <v>0</v>
      </c>
      <c r="Y84">
        <v>0</v>
      </c>
    </row>
    <row r="85" spans="1:25" x14ac:dyDescent="0.25">
      <c r="A85" t="s">
        <v>978</v>
      </c>
      <c r="B85" t="s">
        <v>495</v>
      </c>
      <c r="C85" t="s">
        <v>1135</v>
      </c>
      <c r="D85" t="s">
        <v>1079</v>
      </c>
      <c r="E85">
        <v>244033.66</v>
      </c>
      <c r="F85">
        <v>225731.13</v>
      </c>
      <c r="G85">
        <v>207428.61</v>
      </c>
      <c r="H85">
        <v>18302.52</v>
      </c>
      <c r="I85" s="221">
        <v>18302.53</v>
      </c>
      <c r="J85" s="219">
        <v>0</v>
      </c>
      <c r="K85">
        <v>18302.53</v>
      </c>
      <c r="L85">
        <v>0</v>
      </c>
      <c r="M85">
        <v>0</v>
      </c>
      <c r="O85">
        <v>13752.48</v>
      </c>
      <c r="P85">
        <v>13752.48</v>
      </c>
      <c r="Q85">
        <v>12721.05</v>
      </c>
      <c r="R85" s="214">
        <v>11689.61</v>
      </c>
      <c r="S85" s="216">
        <v>1031.44</v>
      </c>
      <c r="T85">
        <v>1031.44</v>
      </c>
      <c r="U85" s="217">
        <v>1031.43</v>
      </c>
      <c r="V85">
        <v>0</v>
      </c>
      <c r="W85">
        <v>1031.43</v>
      </c>
      <c r="X85">
        <v>0</v>
      </c>
      <c r="Y85">
        <v>0</v>
      </c>
    </row>
    <row r="86" spans="1:25" x14ac:dyDescent="0.25">
      <c r="A86" t="s">
        <v>980</v>
      </c>
      <c r="B86" t="s">
        <v>509</v>
      </c>
      <c r="C86" t="s">
        <v>1078</v>
      </c>
      <c r="D86" t="s">
        <v>1079</v>
      </c>
      <c r="E86">
        <v>180196.81</v>
      </c>
      <c r="F86">
        <v>166682.04</v>
      </c>
      <c r="G86">
        <v>153167.29</v>
      </c>
      <c r="H86">
        <v>13514.75</v>
      </c>
      <c r="I86" s="221">
        <v>13514.77</v>
      </c>
      <c r="J86" s="219">
        <v>0</v>
      </c>
      <c r="K86">
        <v>13514.77</v>
      </c>
      <c r="L86">
        <v>0</v>
      </c>
      <c r="M86">
        <v>0</v>
      </c>
      <c r="O86">
        <v>0</v>
      </c>
      <c r="P86">
        <v>0</v>
      </c>
      <c r="Q86">
        <v>0</v>
      </c>
      <c r="R86" s="214">
        <v>0</v>
      </c>
      <c r="S86" s="216">
        <v>0</v>
      </c>
      <c r="T86">
        <v>0</v>
      </c>
      <c r="U86" s="217">
        <v>0</v>
      </c>
      <c r="V86">
        <v>0</v>
      </c>
      <c r="W86">
        <v>0</v>
      </c>
      <c r="X86">
        <v>0</v>
      </c>
      <c r="Y86">
        <v>0</v>
      </c>
    </row>
    <row r="87" spans="1:25" x14ac:dyDescent="0.25">
      <c r="A87" t="s">
        <v>982</v>
      </c>
      <c r="B87" t="s">
        <v>1136</v>
      </c>
      <c r="C87" t="s">
        <v>1137</v>
      </c>
      <c r="D87" t="s">
        <v>872</v>
      </c>
      <c r="E87">
        <v>34226.199999999997</v>
      </c>
      <c r="F87">
        <v>28200</v>
      </c>
      <c r="G87">
        <v>28200</v>
      </c>
      <c r="H87">
        <v>0</v>
      </c>
      <c r="I87" s="221">
        <v>6026.2</v>
      </c>
      <c r="J87" s="219">
        <v>0</v>
      </c>
      <c r="K87">
        <v>0</v>
      </c>
      <c r="L87">
        <v>0</v>
      </c>
      <c r="M87">
        <v>6026.2</v>
      </c>
      <c r="O87">
        <v>34024.199999999997</v>
      </c>
      <c r="P87">
        <v>28033.57</v>
      </c>
      <c r="Q87">
        <v>28033.57</v>
      </c>
      <c r="R87" s="214">
        <v>28033.57</v>
      </c>
      <c r="S87" s="216">
        <v>0</v>
      </c>
      <c r="T87">
        <v>0</v>
      </c>
      <c r="U87" s="217">
        <v>5990.63</v>
      </c>
      <c r="V87">
        <v>0</v>
      </c>
      <c r="W87">
        <v>0</v>
      </c>
      <c r="X87">
        <v>0</v>
      </c>
      <c r="Y87">
        <v>5990.63</v>
      </c>
    </row>
    <row r="88" spans="1:25" x14ac:dyDescent="0.25">
      <c r="A88" t="s">
        <v>984</v>
      </c>
      <c r="B88" t="s">
        <v>1138</v>
      </c>
      <c r="C88" t="s">
        <v>1139</v>
      </c>
      <c r="D88" t="s">
        <v>1079</v>
      </c>
      <c r="E88">
        <v>163307.10999999999</v>
      </c>
      <c r="F88">
        <v>151059.07</v>
      </c>
      <c r="G88">
        <v>138811.04</v>
      </c>
      <c r="H88">
        <v>12248.03</v>
      </c>
      <c r="I88" s="221">
        <v>12248.04</v>
      </c>
      <c r="J88" s="219">
        <v>0</v>
      </c>
      <c r="K88">
        <v>0</v>
      </c>
      <c r="L88">
        <v>12248.04</v>
      </c>
      <c r="M88">
        <v>0</v>
      </c>
      <c r="O88">
        <v>30000</v>
      </c>
      <c r="P88">
        <v>30000</v>
      </c>
      <c r="Q88">
        <v>30000</v>
      </c>
      <c r="R88" s="214">
        <v>27567.57</v>
      </c>
      <c r="S88" s="216">
        <v>2432.4299999999998</v>
      </c>
      <c r="T88">
        <v>0</v>
      </c>
      <c r="U88" s="217">
        <v>0</v>
      </c>
      <c r="V88">
        <v>0</v>
      </c>
      <c r="W88">
        <v>0</v>
      </c>
      <c r="X88">
        <v>0</v>
      </c>
      <c r="Y88">
        <v>0</v>
      </c>
    </row>
    <row r="89" spans="1:25" x14ac:dyDescent="0.25">
      <c r="A89" t="s">
        <v>929</v>
      </c>
      <c r="B89" t="s">
        <v>161</v>
      </c>
      <c r="C89" t="s">
        <v>1091</v>
      </c>
      <c r="D89" t="s">
        <v>872</v>
      </c>
      <c r="E89">
        <v>904720</v>
      </c>
      <c r="F89">
        <v>859484</v>
      </c>
      <c r="G89">
        <v>769012</v>
      </c>
      <c r="H89">
        <v>90472</v>
      </c>
      <c r="I89" s="221">
        <v>45236</v>
      </c>
      <c r="J89" s="219">
        <v>0</v>
      </c>
      <c r="K89">
        <v>45236</v>
      </c>
      <c r="L89">
        <v>0</v>
      </c>
      <c r="M89">
        <v>0</v>
      </c>
      <c r="O89">
        <v>1976134.44</v>
      </c>
      <c r="P89">
        <v>1976134.44</v>
      </c>
      <c r="Q89">
        <v>851199.64</v>
      </c>
      <c r="R89" s="214">
        <v>761599.68</v>
      </c>
      <c r="S89" s="216">
        <v>89599.96</v>
      </c>
      <c r="T89">
        <v>89599.96</v>
      </c>
      <c r="U89" s="217">
        <v>44799.98</v>
      </c>
      <c r="V89">
        <v>0</v>
      </c>
      <c r="W89">
        <v>44799.98</v>
      </c>
      <c r="X89">
        <v>0</v>
      </c>
      <c r="Y89">
        <v>0</v>
      </c>
    </row>
    <row r="90" spans="1:25" x14ac:dyDescent="0.25">
      <c r="A90" t="s">
        <v>929</v>
      </c>
      <c r="B90" t="s">
        <v>161</v>
      </c>
      <c r="C90" t="s">
        <v>1091</v>
      </c>
      <c r="D90" t="s">
        <v>872</v>
      </c>
      <c r="N90" t="s">
        <v>1124</v>
      </c>
      <c r="O90">
        <v>0</v>
      </c>
      <c r="P90">
        <v>0</v>
      </c>
      <c r="Q90">
        <v>0</v>
      </c>
      <c r="R90" s="214">
        <v>0</v>
      </c>
      <c r="S90" s="216">
        <v>0</v>
      </c>
      <c r="T90">
        <v>-62180.63</v>
      </c>
      <c r="U90" s="217">
        <v>-62180.63</v>
      </c>
      <c r="V90">
        <v>0</v>
      </c>
      <c r="W90">
        <v>-62180.63</v>
      </c>
      <c r="X90">
        <v>0</v>
      </c>
      <c r="Y90">
        <v>0</v>
      </c>
    </row>
    <row r="91" spans="1:25" x14ac:dyDescent="0.25">
      <c r="A91" t="s">
        <v>929</v>
      </c>
      <c r="B91" t="s">
        <v>161</v>
      </c>
      <c r="C91" t="s">
        <v>1091</v>
      </c>
      <c r="D91" t="s">
        <v>872</v>
      </c>
      <c r="N91" t="s">
        <v>1124</v>
      </c>
      <c r="O91">
        <v>0</v>
      </c>
      <c r="P91">
        <v>0</v>
      </c>
      <c r="Q91">
        <v>0</v>
      </c>
      <c r="R91" s="214">
        <v>0</v>
      </c>
      <c r="S91" s="216">
        <v>0</v>
      </c>
      <c r="T91">
        <v>0</v>
      </c>
      <c r="U91" s="217">
        <v>0</v>
      </c>
      <c r="V91">
        <v>0</v>
      </c>
      <c r="W91">
        <v>0</v>
      </c>
      <c r="X91">
        <v>0</v>
      </c>
      <c r="Y91">
        <v>0</v>
      </c>
    </row>
    <row r="92" spans="1:25" x14ac:dyDescent="0.25">
      <c r="A92" t="s">
        <v>996</v>
      </c>
      <c r="B92" t="s">
        <v>1140</v>
      </c>
      <c r="C92" t="s">
        <v>1086</v>
      </c>
      <c r="D92" t="s">
        <v>1079</v>
      </c>
      <c r="E92">
        <v>54411.76</v>
      </c>
      <c r="F92">
        <v>50330.879999999997</v>
      </c>
      <c r="G92">
        <v>46250</v>
      </c>
      <c r="H92">
        <v>4080.88</v>
      </c>
      <c r="I92" s="221">
        <v>4080.88</v>
      </c>
      <c r="J92" s="219">
        <v>0</v>
      </c>
      <c r="K92">
        <v>4080.88</v>
      </c>
      <c r="L92">
        <v>0</v>
      </c>
      <c r="M92">
        <v>0</v>
      </c>
      <c r="O92">
        <v>29008.639999999999</v>
      </c>
      <c r="P92">
        <v>29008.639999999999</v>
      </c>
      <c r="Q92">
        <v>27921.74</v>
      </c>
      <c r="R92" s="214">
        <v>25657.82</v>
      </c>
      <c r="S92" s="216">
        <v>2263.92</v>
      </c>
      <c r="T92">
        <v>1086.9100000000001</v>
      </c>
      <c r="U92" s="217">
        <v>1086.9000000000001</v>
      </c>
      <c r="V92">
        <v>0</v>
      </c>
      <c r="W92">
        <v>1086.9000000000001</v>
      </c>
      <c r="X92">
        <v>0</v>
      </c>
      <c r="Y92">
        <v>0</v>
      </c>
    </row>
    <row r="93" spans="1:25" x14ac:dyDescent="0.25">
      <c r="A93" t="s">
        <v>992</v>
      </c>
      <c r="B93" t="s">
        <v>567</v>
      </c>
      <c r="C93" t="s">
        <v>1078</v>
      </c>
      <c r="D93" t="s">
        <v>1079</v>
      </c>
      <c r="E93">
        <v>207636</v>
      </c>
      <c r="F93">
        <v>192063</v>
      </c>
      <c r="G93">
        <v>176490</v>
      </c>
      <c r="H93">
        <v>15573</v>
      </c>
      <c r="I93" s="221">
        <v>15573</v>
      </c>
      <c r="J93" s="219">
        <v>0</v>
      </c>
      <c r="K93">
        <v>15573</v>
      </c>
      <c r="L93">
        <v>0</v>
      </c>
      <c r="M93">
        <v>0</v>
      </c>
      <c r="O93">
        <v>40580.67</v>
      </c>
      <c r="P93">
        <v>40580.67</v>
      </c>
      <c r="Q93">
        <v>39037.089999999997</v>
      </c>
      <c r="R93" s="214">
        <v>35871.85</v>
      </c>
      <c r="S93" s="216">
        <v>3165.24</v>
      </c>
      <c r="T93">
        <v>1543.58</v>
      </c>
      <c r="U93" s="217">
        <v>1543.58</v>
      </c>
      <c r="V93">
        <v>0</v>
      </c>
      <c r="W93">
        <v>1543.58</v>
      </c>
      <c r="X93">
        <v>0</v>
      </c>
      <c r="Y93">
        <v>0</v>
      </c>
    </row>
    <row r="94" spans="1:25" x14ac:dyDescent="0.25">
      <c r="A94" t="s">
        <v>994</v>
      </c>
      <c r="B94" t="s">
        <v>575</v>
      </c>
      <c r="C94" t="s">
        <v>1141</v>
      </c>
      <c r="D94" t="s">
        <v>1079</v>
      </c>
      <c r="E94">
        <v>140294.17000000001</v>
      </c>
      <c r="F94">
        <v>129772.1</v>
      </c>
      <c r="G94">
        <v>119250.04</v>
      </c>
      <c r="H94">
        <v>10522.06</v>
      </c>
      <c r="I94" s="221">
        <v>10522.07</v>
      </c>
      <c r="J94" s="219">
        <v>0</v>
      </c>
      <c r="K94">
        <v>10522.07</v>
      </c>
      <c r="L94">
        <v>0</v>
      </c>
      <c r="M94">
        <v>0</v>
      </c>
      <c r="O94">
        <v>67875.38</v>
      </c>
      <c r="P94">
        <v>67875.38</v>
      </c>
      <c r="Q94">
        <v>65034.720000000001</v>
      </c>
      <c r="R94" s="214">
        <v>59761.64</v>
      </c>
      <c r="S94" s="216">
        <v>5273.08</v>
      </c>
      <c r="T94">
        <v>2840.65</v>
      </c>
      <c r="U94" s="217">
        <v>2840.66</v>
      </c>
      <c r="V94">
        <v>0</v>
      </c>
      <c r="W94">
        <v>2840.66</v>
      </c>
      <c r="X94">
        <v>0</v>
      </c>
      <c r="Y94">
        <v>0</v>
      </c>
    </row>
    <row r="95" spans="1:25" x14ac:dyDescent="0.25">
      <c r="A95" t="s">
        <v>995</v>
      </c>
      <c r="B95" t="s">
        <v>579</v>
      </c>
      <c r="C95" t="s">
        <v>1141</v>
      </c>
      <c r="D95" t="s">
        <v>1079</v>
      </c>
      <c r="E95">
        <v>46794.12</v>
      </c>
      <c r="F95">
        <v>43284.56</v>
      </c>
      <c r="G95">
        <v>39775</v>
      </c>
      <c r="H95">
        <v>3509.56</v>
      </c>
      <c r="I95" s="221">
        <v>3509.56</v>
      </c>
      <c r="J95" s="219">
        <v>0</v>
      </c>
      <c r="K95">
        <v>3509.56</v>
      </c>
      <c r="L95">
        <v>0</v>
      </c>
      <c r="M95">
        <v>0</v>
      </c>
      <c r="O95">
        <v>30853.52</v>
      </c>
      <c r="P95">
        <v>30853.52</v>
      </c>
      <c r="Q95">
        <v>29054.75</v>
      </c>
      <c r="R95" s="214">
        <v>26698.959999999999</v>
      </c>
      <c r="S95" s="216">
        <v>2355.79</v>
      </c>
      <c r="T95">
        <v>1798.77</v>
      </c>
      <c r="U95" s="217">
        <v>1798.77</v>
      </c>
      <c r="V95">
        <v>0</v>
      </c>
      <c r="W95">
        <v>1798.77</v>
      </c>
      <c r="X95">
        <v>0</v>
      </c>
      <c r="Y95">
        <v>0</v>
      </c>
    </row>
    <row r="96" spans="1:25" x14ac:dyDescent="0.25">
      <c r="A96" t="s">
        <v>995</v>
      </c>
      <c r="B96" t="s">
        <v>579</v>
      </c>
      <c r="C96" t="s">
        <v>1141</v>
      </c>
      <c r="D96" t="s">
        <v>1079</v>
      </c>
      <c r="N96" t="s">
        <v>1088</v>
      </c>
      <c r="O96">
        <v>0</v>
      </c>
      <c r="P96">
        <v>0</v>
      </c>
      <c r="Q96">
        <v>0</v>
      </c>
      <c r="R96" s="214">
        <v>0</v>
      </c>
      <c r="S96" s="216">
        <v>0</v>
      </c>
      <c r="T96">
        <v>-29.5</v>
      </c>
      <c r="U96" s="217">
        <v>-29.5</v>
      </c>
      <c r="V96">
        <v>0</v>
      </c>
      <c r="W96">
        <v>-29.5</v>
      </c>
      <c r="X96">
        <v>0</v>
      </c>
      <c r="Y96">
        <v>0</v>
      </c>
    </row>
    <row r="97" spans="1:25" x14ac:dyDescent="0.25">
      <c r="A97" t="s">
        <v>995</v>
      </c>
      <c r="B97" t="s">
        <v>579</v>
      </c>
      <c r="C97" t="s">
        <v>1141</v>
      </c>
      <c r="D97" t="s">
        <v>1079</v>
      </c>
      <c r="N97" t="s">
        <v>1088</v>
      </c>
      <c r="O97">
        <v>-393.39</v>
      </c>
      <c r="P97">
        <v>-393.39</v>
      </c>
      <c r="Q97">
        <v>0</v>
      </c>
      <c r="R97" s="214">
        <v>0</v>
      </c>
      <c r="S97" s="216">
        <v>0</v>
      </c>
      <c r="T97">
        <v>0</v>
      </c>
      <c r="U97" s="217">
        <v>0</v>
      </c>
      <c r="V97">
        <v>0</v>
      </c>
      <c r="W97">
        <v>0</v>
      </c>
      <c r="X97">
        <v>0</v>
      </c>
      <c r="Y97">
        <v>0</v>
      </c>
    </row>
    <row r="98" spans="1:25" x14ac:dyDescent="0.25">
      <c r="A98" t="s">
        <v>991</v>
      </c>
      <c r="B98" t="s">
        <v>561</v>
      </c>
      <c r="C98" t="s">
        <v>1142</v>
      </c>
      <c r="D98" t="s">
        <v>1079</v>
      </c>
      <c r="E98">
        <v>228408.24</v>
      </c>
      <c r="F98">
        <v>211267.24</v>
      </c>
      <c r="G98">
        <v>194147</v>
      </c>
      <c r="H98">
        <v>17120.240000000002</v>
      </c>
      <c r="I98" s="221">
        <v>17141</v>
      </c>
      <c r="J98" s="219">
        <v>0</v>
      </c>
      <c r="K98">
        <v>17141</v>
      </c>
      <c r="L98">
        <v>0</v>
      </c>
      <c r="M98">
        <v>0</v>
      </c>
      <c r="O98">
        <v>41371.870000000003</v>
      </c>
      <c r="P98">
        <v>41371.870000000003</v>
      </c>
      <c r="Q98">
        <v>39918.1</v>
      </c>
      <c r="R98" s="214">
        <v>36683.300000000003</v>
      </c>
      <c r="S98" s="216">
        <v>3234.8</v>
      </c>
      <c r="T98">
        <v>1452.01</v>
      </c>
      <c r="U98" s="217">
        <v>1453.77</v>
      </c>
      <c r="V98">
        <v>0</v>
      </c>
      <c r="W98">
        <v>1453.77</v>
      </c>
      <c r="X98">
        <v>0</v>
      </c>
      <c r="Y98">
        <v>0</v>
      </c>
    </row>
    <row r="99" spans="1:25" x14ac:dyDescent="0.25">
      <c r="A99" t="s">
        <v>993</v>
      </c>
      <c r="B99" t="s">
        <v>1143</v>
      </c>
      <c r="C99" t="s">
        <v>1144</v>
      </c>
      <c r="D99" t="s">
        <v>1079</v>
      </c>
      <c r="E99">
        <v>291706.14</v>
      </c>
      <c r="F99">
        <v>269822.3</v>
      </c>
      <c r="G99">
        <v>247950.21</v>
      </c>
      <c r="H99">
        <v>21872.09</v>
      </c>
      <c r="I99" s="221">
        <v>21883.84</v>
      </c>
      <c r="J99" s="219">
        <v>0</v>
      </c>
      <c r="K99">
        <v>21883.84</v>
      </c>
      <c r="L99">
        <v>0</v>
      </c>
      <c r="M99">
        <v>0</v>
      </c>
      <c r="O99">
        <v>53998.02</v>
      </c>
      <c r="P99">
        <v>53998.02</v>
      </c>
      <c r="Q99">
        <v>50158.9</v>
      </c>
      <c r="R99" s="214">
        <v>46092.97</v>
      </c>
      <c r="S99" s="216">
        <v>4065.93</v>
      </c>
      <c r="T99">
        <v>3837.06</v>
      </c>
      <c r="U99" s="217">
        <v>3839.12</v>
      </c>
      <c r="V99">
        <v>0</v>
      </c>
      <c r="W99">
        <v>3839.12</v>
      </c>
      <c r="X99">
        <v>0</v>
      </c>
      <c r="Y99">
        <v>0</v>
      </c>
    </row>
    <row r="100" spans="1:25" x14ac:dyDescent="0.25">
      <c r="A100" t="s">
        <v>985</v>
      </c>
      <c r="B100" t="s">
        <v>1145</v>
      </c>
      <c r="C100" t="s">
        <v>1087</v>
      </c>
      <c r="D100" t="s">
        <v>1079</v>
      </c>
      <c r="E100">
        <v>13180</v>
      </c>
      <c r="F100">
        <v>12190</v>
      </c>
      <c r="G100">
        <v>11202</v>
      </c>
      <c r="H100">
        <v>988</v>
      </c>
      <c r="I100" s="221">
        <v>990</v>
      </c>
      <c r="J100" s="219">
        <v>0</v>
      </c>
      <c r="K100">
        <v>990</v>
      </c>
      <c r="L100">
        <v>0</v>
      </c>
      <c r="M100">
        <v>0</v>
      </c>
      <c r="O100">
        <v>4319.71</v>
      </c>
      <c r="P100">
        <v>4319.71</v>
      </c>
      <c r="Q100">
        <v>4269.53</v>
      </c>
      <c r="R100" s="214">
        <v>3923.48</v>
      </c>
      <c r="S100" s="216">
        <v>346.05</v>
      </c>
      <c r="T100">
        <v>49.29</v>
      </c>
      <c r="U100" s="217">
        <v>49.39</v>
      </c>
      <c r="V100">
        <v>0</v>
      </c>
      <c r="W100">
        <v>49.39</v>
      </c>
      <c r="X100">
        <v>0</v>
      </c>
      <c r="Y100">
        <v>0</v>
      </c>
    </row>
    <row r="101" spans="1:25" x14ac:dyDescent="0.25">
      <c r="A101" t="s">
        <v>985</v>
      </c>
      <c r="B101" t="s">
        <v>1145</v>
      </c>
      <c r="C101" t="s">
        <v>1087</v>
      </c>
      <c r="D101" t="s">
        <v>1079</v>
      </c>
      <c r="N101" t="s">
        <v>1146</v>
      </c>
      <c r="O101">
        <v>0</v>
      </c>
      <c r="P101">
        <v>0</v>
      </c>
      <c r="Q101">
        <v>0</v>
      </c>
      <c r="R101" s="214">
        <v>0</v>
      </c>
      <c r="S101" s="216">
        <v>0</v>
      </c>
      <c r="T101">
        <v>-0.03</v>
      </c>
      <c r="U101" s="217">
        <v>-0.03</v>
      </c>
      <c r="V101">
        <v>0</v>
      </c>
      <c r="W101">
        <v>-0.03</v>
      </c>
      <c r="X101">
        <v>0</v>
      </c>
      <c r="Y101">
        <v>0</v>
      </c>
    </row>
    <row r="102" spans="1:25" x14ac:dyDescent="0.25">
      <c r="A102" t="s">
        <v>985</v>
      </c>
      <c r="B102" t="s">
        <v>1145</v>
      </c>
      <c r="C102" t="s">
        <v>1087</v>
      </c>
      <c r="D102" t="s">
        <v>1079</v>
      </c>
      <c r="N102" t="s">
        <v>1146</v>
      </c>
      <c r="O102">
        <v>0</v>
      </c>
      <c r="P102">
        <v>0</v>
      </c>
      <c r="Q102">
        <v>0</v>
      </c>
      <c r="R102" s="214">
        <v>0</v>
      </c>
      <c r="S102" s="216">
        <v>0</v>
      </c>
      <c r="T102">
        <v>-0.1</v>
      </c>
      <c r="U102" s="217">
        <v>-0.1</v>
      </c>
      <c r="V102">
        <v>0</v>
      </c>
      <c r="W102">
        <v>-0.1</v>
      </c>
      <c r="X102">
        <v>0</v>
      </c>
      <c r="Y102">
        <v>0</v>
      </c>
    </row>
    <row r="103" spans="1:25" x14ac:dyDescent="0.25">
      <c r="A103" t="s">
        <v>985</v>
      </c>
      <c r="B103" t="s">
        <v>1145</v>
      </c>
      <c r="C103" t="s">
        <v>1087</v>
      </c>
      <c r="D103" t="s">
        <v>1079</v>
      </c>
      <c r="N103" t="s">
        <v>1146</v>
      </c>
      <c r="O103">
        <v>0</v>
      </c>
      <c r="P103">
        <v>0</v>
      </c>
      <c r="Q103">
        <v>0</v>
      </c>
      <c r="R103" s="214">
        <v>0</v>
      </c>
      <c r="S103" s="216">
        <v>0</v>
      </c>
      <c r="T103">
        <v>-0.26</v>
      </c>
      <c r="U103" s="217">
        <v>-0.26</v>
      </c>
      <c r="V103">
        <v>0</v>
      </c>
      <c r="W103">
        <v>-0.26</v>
      </c>
      <c r="X103">
        <v>0</v>
      </c>
      <c r="Y103">
        <v>0</v>
      </c>
    </row>
    <row r="104" spans="1:25" x14ac:dyDescent="0.25">
      <c r="A104" t="s">
        <v>985</v>
      </c>
      <c r="B104" t="s">
        <v>1145</v>
      </c>
      <c r="C104" t="s">
        <v>1087</v>
      </c>
      <c r="D104" t="s">
        <v>1079</v>
      </c>
      <c r="N104" t="s">
        <v>1146</v>
      </c>
      <c r="O104">
        <v>0</v>
      </c>
      <c r="P104">
        <v>0</v>
      </c>
      <c r="Q104">
        <v>-0.4</v>
      </c>
      <c r="R104" s="214">
        <v>-0.37</v>
      </c>
      <c r="S104" s="216">
        <v>-0.03</v>
      </c>
      <c r="T104">
        <v>0</v>
      </c>
      <c r="U104" s="217">
        <v>0</v>
      </c>
      <c r="V104">
        <v>0</v>
      </c>
      <c r="W104">
        <v>0</v>
      </c>
      <c r="X104">
        <v>0</v>
      </c>
      <c r="Y104">
        <v>0</v>
      </c>
    </row>
    <row r="105" spans="1:25" x14ac:dyDescent="0.25">
      <c r="A105" t="s">
        <v>986</v>
      </c>
      <c r="B105" t="s">
        <v>537</v>
      </c>
      <c r="C105" t="s">
        <v>1147</v>
      </c>
      <c r="D105" t="s">
        <v>1079</v>
      </c>
      <c r="E105">
        <v>6134.93</v>
      </c>
      <c r="F105">
        <v>5674.81</v>
      </c>
      <c r="G105">
        <v>5214.6899999999996</v>
      </c>
      <c r="H105">
        <v>460.12</v>
      </c>
      <c r="I105" s="221">
        <v>460.12</v>
      </c>
      <c r="J105" s="219">
        <v>0</v>
      </c>
      <c r="K105">
        <v>460.12</v>
      </c>
      <c r="L105">
        <v>0</v>
      </c>
      <c r="M105">
        <v>0</v>
      </c>
      <c r="O105">
        <v>575.03</v>
      </c>
      <c r="P105">
        <v>575.03</v>
      </c>
      <c r="Q105">
        <v>531.91</v>
      </c>
      <c r="R105" s="214">
        <v>488.78</v>
      </c>
      <c r="S105" s="216">
        <v>43.13</v>
      </c>
      <c r="T105">
        <v>43.13</v>
      </c>
      <c r="U105" s="217">
        <v>43.12</v>
      </c>
      <c r="V105">
        <v>0</v>
      </c>
      <c r="W105">
        <v>43.12</v>
      </c>
      <c r="X105">
        <v>0</v>
      </c>
      <c r="Y105">
        <v>0</v>
      </c>
    </row>
    <row r="106" spans="1:25" x14ac:dyDescent="0.25">
      <c r="A106" t="s">
        <v>987</v>
      </c>
      <c r="B106" t="s">
        <v>1148</v>
      </c>
      <c r="C106" t="s">
        <v>1149</v>
      </c>
      <c r="D106" t="s">
        <v>1079</v>
      </c>
      <c r="E106">
        <v>7725.47</v>
      </c>
      <c r="F106">
        <v>7146.05</v>
      </c>
      <c r="G106">
        <v>6566.65</v>
      </c>
      <c r="H106">
        <v>579.4</v>
      </c>
      <c r="I106" s="221">
        <v>579.41999999999996</v>
      </c>
      <c r="J106" s="219">
        <v>0</v>
      </c>
      <c r="K106">
        <v>0</v>
      </c>
      <c r="L106">
        <v>579.41999999999996</v>
      </c>
      <c r="M106">
        <v>0</v>
      </c>
      <c r="O106">
        <v>907.82</v>
      </c>
      <c r="P106">
        <v>907.82</v>
      </c>
      <c r="Q106">
        <v>839.74</v>
      </c>
      <c r="R106" s="214">
        <v>771.65</v>
      </c>
      <c r="S106" s="216">
        <v>68.09</v>
      </c>
      <c r="T106">
        <v>68.09</v>
      </c>
      <c r="U106" s="217">
        <v>68.08</v>
      </c>
      <c r="V106">
        <v>0</v>
      </c>
      <c r="W106">
        <v>0</v>
      </c>
      <c r="X106">
        <v>68.08</v>
      </c>
      <c r="Y106">
        <v>0</v>
      </c>
    </row>
    <row r="107" spans="1:25" x14ac:dyDescent="0.25">
      <c r="A107" t="s">
        <v>988</v>
      </c>
      <c r="B107" t="s">
        <v>545</v>
      </c>
      <c r="C107" t="s">
        <v>1150</v>
      </c>
      <c r="D107" t="s">
        <v>1079</v>
      </c>
      <c r="E107">
        <v>5453.27</v>
      </c>
      <c r="F107">
        <v>5044.2700000000004</v>
      </c>
      <c r="G107">
        <v>4635.28</v>
      </c>
      <c r="H107">
        <v>408.99</v>
      </c>
      <c r="I107" s="221">
        <v>409</v>
      </c>
      <c r="J107" s="219">
        <v>0</v>
      </c>
      <c r="K107">
        <v>409</v>
      </c>
      <c r="L107">
        <v>0</v>
      </c>
      <c r="M107">
        <v>0</v>
      </c>
      <c r="O107">
        <v>351</v>
      </c>
      <c r="P107">
        <v>351</v>
      </c>
      <c r="Q107">
        <v>324.67</v>
      </c>
      <c r="R107" s="214">
        <v>298.35000000000002</v>
      </c>
      <c r="S107" s="216">
        <v>26.32</v>
      </c>
      <c r="T107">
        <v>26.32</v>
      </c>
      <c r="U107" s="217">
        <v>26.33</v>
      </c>
      <c r="V107">
        <v>0</v>
      </c>
      <c r="W107">
        <v>26.33</v>
      </c>
      <c r="X107">
        <v>0</v>
      </c>
      <c r="Y107">
        <v>0</v>
      </c>
    </row>
    <row r="108" spans="1:25" x14ac:dyDescent="0.25">
      <c r="A108" t="s">
        <v>990</v>
      </c>
      <c r="B108" t="s">
        <v>1151</v>
      </c>
      <c r="C108" t="s">
        <v>1134</v>
      </c>
      <c r="D108" t="s">
        <v>1079</v>
      </c>
      <c r="E108">
        <v>6589</v>
      </c>
      <c r="F108">
        <v>6094.82</v>
      </c>
      <c r="G108">
        <v>5600.64</v>
      </c>
      <c r="H108">
        <v>494.18</v>
      </c>
      <c r="I108" s="221">
        <v>494.18</v>
      </c>
      <c r="J108" s="219">
        <v>0</v>
      </c>
      <c r="K108">
        <v>0</v>
      </c>
      <c r="L108">
        <v>494.18</v>
      </c>
      <c r="M108">
        <v>0</v>
      </c>
      <c r="O108">
        <v>126</v>
      </c>
      <c r="P108">
        <v>126</v>
      </c>
      <c r="Q108">
        <v>116.55</v>
      </c>
      <c r="R108" s="214">
        <v>107.1</v>
      </c>
      <c r="S108" s="216">
        <v>9.4499999999999993</v>
      </c>
      <c r="T108">
        <v>9.4499999999999993</v>
      </c>
      <c r="U108" s="217">
        <v>9.4499999999999993</v>
      </c>
      <c r="V108">
        <v>0</v>
      </c>
      <c r="W108">
        <v>0</v>
      </c>
      <c r="X108">
        <v>9.4499999999999993</v>
      </c>
      <c r="Y108">
        <v>0</v>
      </c>
    </row>
    <row r="109" spans="1:25" x14ac:dyDescent="0.25">
      <c r="A109" t="s">
        <v>972</v>
      </c>
      <c r="B109" t="s">
        <v>1152</v>
      </c>
      <c r="C109" t="s">
        <v>1083</v>
      </c>
      <c r="D109" t="s">
        <v>1079</v>
      </c>
      <c r="E109">
        <v>609261.09</v>
      </c>
      <c r="F109">
        <v>420472</v>
      </c>
      <c r="G109">
        <v>386380</v>
      </c>
      <c r="H109">
        <v>34092</v>
      </c>
      <c r="I109" s="221">
        <v>188789.09</v>
      </c>
      <c r="J109" s="219">
        <v>0</v>
      </c>
      <c r="K109">
        <v>188789.09</v>
      </c>
      <c r="L109">
        <v>0</v>
      </c>
      <c r="M109">
        <v>0</v>
      </c>
      <c r="O109">
        <v>7186.95</v>
      </c>
      <c r="P109">
        <v>7186.95</v>
      </c>
      <c r="Q109">
        <v>4959.97</v>
      </c>
      <c r="R109" s="214">
        <v>4557.8100000000004</v>
      </c>
      <c r="S109" s="216">
        <v>402.16</v>
      </c>
      <c r="T109">
        <v>402.16</v>
      </c>
      <c r="U109" s="217">
        <v>2226.98</v>
      </c>
      <c r="V109">
        <v>0</v>
      </c>
      <c r="W109">
        <v>2226.98</v>
      </c>
      <c r="X109">
        <v>0</v>
      </c>
      <c r="Y109">
        <v>0</v>
      </c>
    </row>
    <row r="110" spans="1:25" x14ac:dyDescent="0.25">
      <c r="A110" t="s">
        <v>974</v>
      </c>
      <c r="B110" t="s">
        <v>1153</v>
      </c>
      <c r="C110" t="s">
        <v>1078</v>
      </c>
      <c r="D110" t="s">
        <v>1079</v>
      </c>
      <c r="E110">
        <v>361401</v>
      </c>
      <c r="F110">
        <v>307018</v>
      </c>
      <c r="G110">
        <v>282125</v>
      </c>
      <c r="H110">
        <v>24893</v>
      </c>
      <c r="I110" s="221">
        <v>54383</v>
      </c>
      <c r="J110" s="219">
        <v>0</v>
      </c>
      <c r="K110">
        <v>54383</v>
      </c>
      <c r="L110">
        <v>0</v>
      </c>
      <c r="M110">
        <v>0</v>
      </c>
      <c r="O110">
        <v>3057.98</v>
      </c>
      <c r="P110">
        <v>3057.98</v>
      </c>
      <c r="Q110">
        <v>2597.8200000000002</v>
      </c>
      <c r="R110" s="214">
        <v>2387.19</v>
      </c>
      <c r="S110" s="216">
        <v>210.63</v>
      </c>
      <c r="T110">
        <v>210.63</v>
      </c>
      <c r="U110" s="217">
        <v>460.16</v>
      </c>
      <c r="V110">
        <v>0</v>
      </c>
      <c r="W110">
        <v>460.16</v>
      </c>
      <c r="X110">
        <v>0</v>
      </c>
      <c r="Y110">
        <v>0</v>
      </c>
    </row>
    <row r="111" spans="1:25" x14ac:dyDescent="0.25">
      <c r="A111" t="s">
        <v>973</v>
      </c>
      <c r="B111" t="s">
        <v>1154</v>
      </c>
      <c r="C111" t="s">
        <v>1087</v>
      </c>
      <c r="D111" t="s">
        <v>1079</v>
      </c>
      <c r="E111">
        <v>324706</v>
      </c>
      <c r="F111">
        <v>300352</v>
      </c>
      <c r="G111">
        <v>276000</v>
      </c>
      <c r="H111">
        <v>24352</v>
      </c>
      <c r="I111" s="221">
        <v>24354</v>
      </c>
      <c r="J111" s="219">
        <v>0</v>
      </c>
      <c r="K111">
        <v>24354</v>
      </c>
      <c r="L111">
        <v>0</v>
      </c>
      <c r="M111">
        <v>0</v>
      </c>
      <c r="O111">
        <v>101310.2</v>
      </c>
      <c r="P111">
        <v>101310.2</v>
      </c>
      <c r="Q111">
        <v>100469.82</v>
      </c>
      <c r="R111" s="214">
        <v>92323.91</v>
      </c>
      <c r="S111" s="216">
        <v>8145.91</v>
      </c>
      <c r="T111">
        <v>840.31</v>
      </c>
      <c r="U111" s="217">
        <v>840.38</v>
      </c>
      <c r="V111">
        <v>0</v>
      </c>
      <c r="W111">
        <v>840.38</v>
      </c>
      <c r="X111">
        <v>0</v>
      </c>
      <c r="Y111">
        <v>0</v>
      </c>
    </row>
    <row r="112" spans="1:25" x14ac:dyDescent="0.25">
      <c r="A112" t="s">
        <v>975</v>
      </c>
      <c r="B112" t="s">
        <v>1155</v>
      </c>
      <c r="C112" t="s">
        <v>1091</v>
      </c>
      <c r="D112" t="s">
        <v>1079</v>
      </c>
      <c r="E112">
        <v>358491.09</v>
      </c>
      <c r="F112">
        <v>296439.65000000002</v>
      </c>
      <c r="G112">
        <v>272404</v>
      </c>
      <c r="H112">
        <v>24035.65</v>
      </c>
      <c r="I112" s="221">
        <v>62051.44</v>
      </c>
      <c r="J112" s="219">
        <v>0</v>
      </c>
      <c r="K112">
        <v>62051.44</v>
      </c>
      <c r="L112">
        <v>0</v>
      </c>
      <c r="M112">
        <v>0</v>
      </c>
      <c r="O112">
        <v>311169.28999999998</v>
      </c>
      <c r="P112">
        <v>311169.28999999998</v>
      </c>
      <c r="Q112">
        <v>215587.25</v>
      </c>
      <c r="R112" s="214">
        <v>198107.2</v>
      </c>
      <c r="S112" s="216">
        <v>17480.05</v>
      </c>
      <c r="T112">
        <v>14902.43</v>
      </c>
      <c r="U112" s="217">
        <v>38472.730000000003</v>
      </c>
      <c r="V112">
        <v>0</v>
      </c>
      <c r="W112">
        <v>38472.730000000003</v>
      </c>
      <c r="X112">
        <v>0</v>
      </c>
      <c r="Y112">
        <v>0</v>
      </c>
    </row>
    <row r="113" spans="1:25" x14ac:dyDescent="0.25">
      <c r="A113" t="s">
        <v>976</v>
      </c>
      <c r="B113" t="s">
        <v>1156</v>
      </c>
      <c r="C113" t="s">
        <v>1087</v>
      </c>
      <c r="D113" t="s">
        <v>1079</v>
      </c>
      <c r="E113">
        <v>320628</v>
      </c>
      <c r="F113">
        <v>272533</v>
      </c>
      <c r="G113">
        <v>272533</v>
      </c>
      <c r="H113">
        <v>0</v>
      </c>
      <c r="I113" s="221">
        <v>48095</v>
      </c>
      <c r="J113" s="219">
        <v>0</v>
      </c>
      <c r="K113">
        <v>48095</v>
      </c>
      <c r="L113">
        <v>0</v>
      </c>
      <c r="M113">
        <v>0</v>
      </c>
      <c r="O113">
        <v>90567.73</v>
      </c>
      <c r="P113">
        <v>90567.73</v>
      </c>
      <c r="Q113">
        <v>89246.53</v>
      </c>
      <c r="R113" s="214">
        <v>89246.53</v>
      </c>
      <c r="S113" s="216">
        <v>0</v>
      </c>
      <c r="T113">
        <v>0</v>
      </c>
      <c r="U113" s="217">
        <v>1321.2</v>
      </c>
      <c r="V113">
        <v>0</v>
      </c>
      <c r="W113">
        <v>1321.2</v>
      </c>
      <c r="X113">
        <v>0</v>
      </c>
      <c r="Y113">
        <v>0</v>
      </c>
    </row>
    <row r="114" spans="1:25" x14ac:dyDescent="0.25">
      <c r="A114" t="s">
        <v>977</v>
      </c>
      <c r="B114" t="s">
        <v>485</v>
      </c>
      <c r="C114" t="s">
        <v>1081</v>
      </c>
      <c r="D114" t="s">
        <v>1079</v>
      </c>
      <c r="E114">
        <v>1346002.9</v>
      </c>
      <c r="F114">
        <v>1132178</v>
      </c>
      <c r="G114">
        <v>1132178</v>
      </c>
      <c r="H114">
        <v>0</v>
      </c>
      <c r="I114" s="221">
        <v>213824.9</v>
      </c>
      <c r="J114" s="219">
        <v>0</v>
      </c>
      <c r="K114">
        <v>213824.9</v>
      </c>
      <c r="L114">
        <v>0</v>
      </c>
      <c r="M114">
        <v>0</v>
      </c>
      <c r="O114">
        <v>113314.18</v>
      </c>
      <c r="P114">
        <v>113314.18</v>
      </c>
      <c r="Q114">
        <v>109610.51</v>
      </c>
      <c r="R114" s="214">
        <v>109610.51</v>
      </c>
      <c r="S114" s="216">
        <v>0</v>
      </c>
      <c r="T114">
        <v>0</v>
      </c>
      <c r="U114" s="217">
        <v>3703.67</v>
      </c>
      <c r="V114">
        <v>0</v>
      </c>
      <c r="W114">
        <v>3703.67</v>
      </c>
      <c r="X114">
        <v>0</v>
      </c>
      <c r="Y114">
        <v>0</v>
      </c>
    </row>
    <row r="115" spans="1:25" x14ac:dyDescent="0.25">
      <c r="A115" t="s">
        <v>1013</v>
      </c>
      <c r="B115" t="s">
        <v>1157</v>
      </c>
      <c r="C115" t="s">
        <v>1086</v>
      </c>
      <c r="D115" t="s">
        <v>1079</v>
      </c>
      <c r="E115">
        <v>188236</v>
      </c>
      <c r="F115">
        <v>160000</v>
      </c>
      <c r="G115">
        <v>160000</v>
      </c>
      <c r="H115">
        <v>0</v>
      </c>
      <c r="I115" s="221">
        <v>28236</v>
      </c>
      <c r="J115" s="219">
        <v>0</v>
      </c>
      <c r="K115">
        <v>28236</v>
      </c>
      <c r="L115">
        <v>0</v>
      </c>
      <c r="M115">
        <v>0</v>
      </c>
      <c r="O115">
        <v>12319.27</v>
      </c>
      <c r="P115">
        <v>12319.27</v>
      </c>
      <c r="Q115">
        <v>11010.52</v>
      </c>
      <c r="R115" s="214">
        <v>11010.52</v>
      </c>
      <c r="S115" s="216">
        <v>0</v>
      </c>
      <c r="T115">
        <v>0</v>
      </c>
      <c r="U115" s="217">
        <v>1308.75</v>
      </c>
      <c r="V115">
        <v>0</v>
      </c>
      <c r="W115">
        <v>1308.75</v>
      </c>
      <c r="X115">
        <v>0</v>
      </c>
      <c r="Y115">
        <v>0</v>
      </c>
    </row>
    <row r="116" spans="1:25" x14ac:dyDescent="0.25">
      <c r="A116" t="s">
        <v>1015</v>
      </c>
      <c r="B116" t="s">
        <v>672</v>
      </c>
      <c r="C116" t="s">
        <v>1081</v>
      </c>
      <c r="D116" t="s">
        <v>1079</v>
      </c>
      <c r="E116">
        <v>154414.51999999999</v>
      </c>
      <c r="F116">
        <v>131252.34</v>
      </c>
      <c r="G116">
        <v>131252.34</v>
      </c>
      <c r="H116">
        <v>0</v>
      </c>
      <c r="I116" s="221">
        <v>23162.18</v>
      </c>
      <c r="J116" s="219">
        <v>0</v>
      </c>
      <c r="K116">
        <v>23162.18</v>
      </c>
      <c r="L116">
        <v>0</v>
      </c>
      <c r="M116">
        <v>0</v>
      </c>
      <c r="O116">
        <v>129962.21</v>
      </c>
      <c r="P116">
        <v>129962.21</v>
      </c>
      <c r="Q116">
        <v>115717.88</v>
      </c>
      <c r="R116" s="214">
        <v>115717.88</v>
      </c>
      <c r="S116" s="216">
        <v>0</v>
      </c>
      <c r="T116">
        <v>0</v>
      </c>
      <c r="U116" s="217">
        <v>14244.33</v>
      </c>
      <c r="V116">
        <v>0</v>
      </c>
      <c r="W116">
        <v>14244.33</v>
      </c>
      <c r="X116">
        <v>0</v>
      </c>
      <c r="Y116">
        <v>0</v>
      </c>
    </row>
    <row r="117" spans="1:25" x14ac:dyDescent="0.25">
      <c r="A117" t="s">
        <v>1016</v>
      </c>
      <c r="B117" t="s">
        <v>675</v>
      </c>
      <c r="C117" t="s">
        <v>1158</v>
      </c>
      <c r="D117" t="s">
        <v>1079</v>
      </c>
      <c r="E117">
        <v>116373.51</v>
      </c>
      <c r="F117">
        <v>98844.35</v>
      </c>
      <c r="G117">
        <v>98844.35</v>
      </c>
      <c r="H117">
        <v>0</v>
      </c>
      <c r="I117" s="221">
        <v>17529.16</v>
      </c>
      <c r="J117" s="219">
        <v>0</v>
      </c>
      <c r="K117">
        <v>17529.16</v>
      </c>
      <c r="L117">
        <v>0</v>
      </c>
      <c r="M117">
        <v>0</v>
      </c>
      <c r="O117">
        <v>66635.92</v>
      </c>
      <c r="P117">
        <v>66635.92</v>
      </c>
      <c r="Q117">
        <v>56598.66</v>
      </c>
      <c r="R117" s="214">
        <v>56598.66</v>
      </c>
      <c r="S117" s="216">
        <v>0</v>
      </c>
      <c r="T117">
        <v>0</v>
      </c>
      <c r="U117" s="217">
        <v>10037.26</v>
      </c>
      <c r="V117">
        <v>0</v>
      </c>
      <c r="W117">
        <v>10037.26</v>
      </c>
      <c r="X117">
        <v>0</v>
      </c>
      <c r="Y117">
        <v>0</v>
      </c>
    </row>
    <row r="118" spans="1:25" x14ac:dyDescent="0.25">
      <c r="A118" t="s">
        <v>1014</v>
      </c>
      <c r="B118" t="s">
        <v>669</v>
      </c>
      <c r="C118" t="s">
        <v>1078</v>
      </c>
      <c r="D118" t="s">
        <v>1079</v>
      </c>
      <c r="E118">
        <v>186665</v>
      </c>
      <c r="F118">
        <v>158665</v>
      </c>
      <c r="G118">
        <v>158665</v>
      </c>
      <c r="H118">
        <v>0</v>
      </c>
      <c r="I118" s="221">
        <v>28000</v>
      </c>
      <c r="J118" s="219">
        <v>0</v>
      </c>
      <c r="K118">
        <v>28000</v>
      </c>
      <c r="L118">
        <v>0</v>
      </c>
      <c r="M118">
        <v>0</v>
      </c>
      <c r="O118">
        <v>26151.55</v>
      </c>
      <c r="P118">
        <v>26151.55</v>
      </c>
      <c r="Q118">
        <v>23115.14</v>
      </c>
      <c r="R118" s="214">
        <v>23115.14</v>
      </c>
      <c r="S118" s="216">
        <v>0</v>
      </c>
      <c r="T118">
        <v>0</v>
      </c>
      <c r="U118" s="217">
        <v>3036.41</v>
      </c>
      <c r="V118">
        <v>0</v>
      </c>
      <c r="W118">
        <v>3036.41</v>
      </c>
      <c r="X118">
        <v>0</v>
      </c>
      <c r="Y118">
        <v>0</v>
      </c>
    </row>
    <row r="119" spans="1:25" x14ac:dyDescent="0.25">
      <c r="A119" t="s">
        <v>1017</v>
      </c>
      <c r="B119" t="s">
        <v>680</v>
      </c>
      <c r="C119" t="s">
        <v>1087</v>
      </c>
      <c r="D119" t="s">
        <v>1079</v>
      </c>
      <c r="E119">
        <v>176470.59</v>
      </c>
      <c r="F119">
        <v>150000</v>
      </c>
      <c r="G119">
        <v>150000</v>
      </c>
      <c r="H119">
        <v>0</v>
      </c>
      <c r="I119" s="221">
        <v>26470.59</v>
      </c>
      <c r="J119" s="219">
        <v>0</v>
      </c>
      <c r="K119">
        <v>26470.59</v>
      </c>
      <c r="L119">
        <v>0</v>
      </c>
      <c r="M119">
        <v>0</v>
      </c>
      <c r="O119">
        <v>51432.97</v>
      </c>
      <c r="P119">
        <v>51432.97</v>
      </c>
      <c r="Q119">
        <v>20468.02</v>
      </c>
      <c r="R119" s="214">
        <v>20468.02</v>
      </c>
      <c r="S119" s="216">
        <v>0</v>
      </c>
      <c r="T119">
        <v>0</v>
      </c>
      <c r="U119" s="217">
        <v>964.95</v>
      </c>
      <c r="V119">
        <v>0</v>
      </c>
      <c r="W119">
        <v>964.95</v>
      </c>
      <c r="X119">
        <v>0</v>
      </c>
      <c r="Y119">
        <v>0</v>
      </c>
    </row>
    <row r="120" spans="1:25" x14ac:dyDescent="0.25">
      <c r="A120" t="s">
        <v>1017</v>
      </c>
      <c r="B120" t="s">
        <v>680</v>
      </c>
      <c r="C120" t="s">
        <v>1087</v>
      </c>
      <c r="D120" t="s">
        <v>1079</v>
      </c>
      <c r="N120" t="s">
        <v>1089</v>
      </c>
      <c r="O120">
        <v>0</v>
      </c>
      <c r="P120">
        <v>0</v>
      </c>
      <c r="Q120">
        <v>0</v>
      </c>
      <c r="R120" s="214">
        <v>0</v>
      </c>
      <c r="S120" s="216">
        <v>0</v>
      </c>
      <c r="T120">
        <v>0</v>
      </c>
      <c r="U120" s="217">
        <v>0</v>
      </c>
      <c r="V120">
        <v>0</v>
      </c>
      <c r="W120">
        <v>0</v>
      </c>
      <c r="X120">
        <v>0</v>
      </c>
      <c r="Y120">
        <v>0</v>
      </c>
    </row>
    <row r="121" spans="1:25" x14ac:dyDescent="0.25">
      <c r="A121" t="s">
        <v>1017</v>
      </c>
      <c r="B121" t="s">
        <v>680</v>
      </c>
      <c r="C121" t="s">
        <v>1087</v>
      </c>
      <c r="D121" t="s">
        <v>1079</v>
      </c>
      <c r="N121" t="s">
        <v>1089</v>
      </c>
      <c r="O121">
        <v>0</v>
      </c>
      <c r="P121">
        <v>0</v>
      </c>
      <c r="Q121">
        <v>-30000</v>
      </c>
      <c r="R121" s="214">
        <v>-30000</v>
      </c>
      <c r="S121" s="216">
        <v>0</v>
      </c>
      <c r="T121">
        <v>0</v>
      </c>
      <c r="U121" s="21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24"/>
  <sheetViews>
    <sheetView topLeftCell="A37" zoomScaleNormal="100" workbookViewId="0">
      <selection activeCell="O41" sqref="O41"/>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861</v>
      </c>
      <c r="AJ3" s="3"/>
    </row>
    <row r="4" spans="2:37" ht="15.75" x14ac:dyDescent="0.25">
      <c r="AB4" s="3"/>
      <c r="AD4" s="3"/>
      <c r="AE4" s="3"/>
      <c r="AF4" s="3"/>
      <c r="AJ4" s="3"/>
    </row>
    <row r="5" spans="2:37" ht="15.75" x14ac:dyDescent="0.25">
      <c r="B5" s="96" t="s">
        <v>862</v>
      </c>
      <c r="AB5" s="3"/>
      <c r="AD5" s="3"/>
      <c r="AE5" s="3"/>
      <c r="AJ5" s="3"/>
    </row>
    <row r="6" spans="2:37" ht="15.75" customHeight="1" x14ac:dyDescent="0.25">
      <c r="B6" s="96" t="s">
        <v>886</v>
      </c>
      <c r="C6" s="5"/>
    </row>
    <row r="7" spans="2:37" ht="32.25" customHeight="1" thickBot="1" x14ac:dyDescent="0.3">
      <c r="B7" s="384" t="s">
        <v>19</v>
      </c>
      <c r="C7" s="385" t="s">
        <v>17</v>
      </c>
      <c r="D7" s="384" t="s">
        <v>14</v>
      </c>
      <c r="E7" s="385" t="s">
        <v>867</v>
      </c>
      <c r="F7" s="385" t="s">
        <v>887</v>
      </c>
      <c r="G7" s="390" t="s">
        <v>888</v>
      </c>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row>
    <row r="8" spans="2:37" ht="60.75" customHeight="1" thickBot="1" x14ac:dyDescent="0.3">
      <c r="B8" s="384"/>
      <c r="C8" s="386"/>
      <c r="D8" s="387"/>
      <c r="E8" s="388"/>
      <c r="F8" s="389"/>
      <c r="G8" s="97" t="s">
        <v>889</v>
      </c>
      <c r="H8" s="98" t="s">
        <v>20</v>
      </c>
      <c r="I8" s="99" t="s">
        <v>890</v>
      </c>
      <c r="J8" s="99" t="s">
        <v>891</v>
      </c>
      <c r="K8" s="100" t="s">
        <v>892</v>
      </c>
      <c r="L8" s="97" t="s">
        <v>893</v>
      </c>
      <c r="M8" s="98" t="s">
        <v>21</v>
      </c>
      <c r="N8" s="99" t="s">
        <v>894</v>
      </c>
      <c r="O8" s="99" t="s">
        <v>895</v>
      </c>
      <c r="P8" s="100" t="s">
        <v>896</v>
      </c>
      <c r="Q8" s="97" t="s">
        <v>897</v>
      </c>
      <c r="R8" s="98" t="s">
        <v>22</v>
      </c>
      <c r="S8" s="99" t="s">
        <v>898</v>
      </c>
      <c r="T8" s="99" t="s">
        <v>899</v>
      </c>
      <c r="U8" s="100" t="s">
        <v>900</v>
      </c>
      <c r="V8" s="97" t="s">
        <v>901</v>
      </c>
      <c r="W8" s="98" t="s">
        <v>23</v>
      </c>
      <c r="X8" s="99" t="s">
        <v>902</v>
      </c>
      <c r="Y8" s="99" t="s">
        <v>903</v>
      </c>
      <c r="Z8" s="100" t="s">
        <v>904</v>
      </c>
      <c r="AA8" s="97" t="s">
        <v>905</v>
      </c>
      <c r="AB8" s="98" t="s">
        <v>24</v>
      </c>
      <c r="AC8" s="99" t="s">
        <v>906</v>
      </c>
      <c r="AD8" s="99" t="s">
        <v>907</v>
      </c>
      <c r="AE8" s="100" t="s">
        <v>908</v>
      </c>
      <c r="AF8" s="97" t="s">
        <v>909</v>
      </c>
      <c r="AG8" s="98" t="s">
        <v>25</v>
      </c>
      <c r="AH8" s="99" t="s">
        <v>910</v>
      </c>
      <c r="AI8" s="99" t="s">
        <v>911</v>
      </c>
      <c r="AJ8" s="100" t="s">
        <v>912</v>
      </c>
    </row>
    <row r="9" spans="2:37" ht="63.75" x14ac:dyDescent="0.2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220</v>
      </c>
      <c r="AK9" s="6"/>
    </row>
    <row r="10" spans="2:37" ht="191.25" customHeight="1" x14ac:dyDescent="0.2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2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2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3" customHeight="1" x14ac:dyDescent="0.25">
      <c r="B13" s="29" t="str">
        <f>'1 lentelė'!$B13</f>
        <v>1.1.1.1.1</v>
      </c>
      <c r="C13" s="29" t="str">
        <f>'1 lentelė'!$C13</f>
        <v>R099905-342900-1101</v>
      </c>
      <c r="D13" s="29" t="str">
        <f>'1 lentelė'!$D13</f>
        <v>Anykščių miesto viešųjų erdvių sistemos pertvarkymas (I etapas)</v>
      </c>
      <c r="E13" s="23" t="s">
        <v>65</v>
      </c>
      <c r="F13" s="118" t="s">
        <v>913</v>
      </c>
      <c r="G13" s="119" t="str">
        <f>'2 lentelė'!$E13</f>
        <v>P.B.238</v>
      </c>
      <c r="H13" s="26" t="str">
        <f>'2 lentelė'!$F13</f>
        <v xml:space="preserve">Sukurtos arba atnaujintos atviros erdvės miestų vietovėse, m2 </v>
      </c>
      <c r="I13" s="26">
        <f>'2 lentelė'!$G13</f>
        <v>6826.23</v>
      </c>
      <c r="J13" s="25" t="s">
        <v>914</v>
      </c>
      <c r="K13" s="120">
        <v>0</v>
      </c>
      <c r="L13" s="119" t="str">
        <f>'2 lentelė'!$H13</f>
        <v>P.B.239</v>
      </c>
      <c r="M13" s="26" t="str">
        <f>'2 lentelė'!$I13</f>
        <v xml:space="preserve">Pastatyti arba atnaujinti viešieji arba komerciniai pastatai miestų vietovėse, m2 </v>
      </c>
      <c r="N13" s="26">
        <f>'2 lentelė'!$J13</f>
        <v>844.65</v>
      </c>
      <c r="O13" s="25" t="s">
        <v>915</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25">
      <c r="B14" s="29" t="str">
        <f>'1 lentelė'!$B14</f>
        <v>1.1.1.1.2</v>
      </c>
      <c r="C14" s="29" t="str">
        <f>'1 lentelė'!$C14</f>
        <v>R099905-280000-1102</v>
      </c>
      <c r="D14" s="29" t="str">
        <f>'1 lentelė'!$D14</f>
        <v xml:space="preserve">Anykščių miesto viešųjų erdvių sistemos pertvarkymas (II etapas) </v>
      </c>
      <c r="E14" s="23" t="s">
        <v>65</v>
      </c>
      <c r="F14" s="118" t="s">
        <v>916</v>
      </c>
      <c r="G14" s="119" t="str">
        <f>'2 lentelė'!$E14</f>
        <v>P.B.238</v>
      </c>
      <c r="H14" s="26" t="str">
        <f>'2 lentelė'!$F14</f>
        <v xml:space="preserve">Sukurtos arba atnaujintos atviros erdvės miestų vietovėse, m2 </v>
      </c>
      <c r="I14" s="26">
        <f>'2 lentelė'!G14</f>
        <v>5766</v>
      </c>
      <c r="J14" s="26">
        <v>5766.1</v>
      </c>
      <c r="K14" s="120">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25">
      <c r="B15" s="29" t="str">
        <f>'1 lentelė'!$B15</f>
        <v>1.1.1.1.3</v>
      </c>
      <c r="C15" s="29" t="str">
        <f>'1 lentelė'!$C15</f>
        <v>R099905-320000-1103</v>
      </c>
      <c r="D15" s="29" t="str">
        <f>'1 lentelė'!$D15</f>
        <v xml:space="preserve">Bendruomeninės aktyvaus laisvalaikio infrastruktūros įrengimas Anykščių mieste  </v>
      </c>
      <c r="E15" s="26" t="s">
        <v>65</v>
      </c>
      <c r="F15" s="118" t="s">
        <v>917</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25">
      <c r="B16" s="29" t="str">
        <f>'1 lentelė'!$B16</f>
        <v xml:space="preserve">1.1.1.1.4   </v>
      </c>
      <c r="C16" s="29" t="str">
        <f>'1 lentelė'!$C16</f>
        <v>R099905-302804-1104</v>
      </c>
      <c r="D16" s="29" t="str">
        <f>'1 lentelė'!$D16</f>
        <v xml:space="preserve">Anykščių miesto viešųjų erdvių sistemos pertvarkymas (III etapas) </v>
      </c>
      <c r="E16" s="26" t="s">
        <v>30</v>
      </c>
      <c r="F16" s="118" t="s">
        <v>1505</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2.5" customHeight="1" x14ac:dyDescent="0.2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918</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25">
      <c r="B18" s="29" t="str">
        <f>'1 lentelė'!$B18</f>
        <v>1.1.1.1.6</v>
      </c>
      <c r="C18" s="29" t="str">
        <f>'1 lentelė'!$C18</f>
        <v>R099905-302900-1106</v>
      </c>
      <c r="D18" s="29" t="str">
        <f>'1 lentelė'!$D18</f>
        <v>Molėtų miesto centrinės dalies kompleksinis sutvarkymas (II etapas)</v>
      </c>
      <c r="E18" s="26" t="s">
        <v>65</v>
      </c>
      <c r="F18" s="118" t="s">
        <v>919</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25">
      <c r="B19" s="29" t="str">
        <f>'1 lentelė'!$B19</f>
        <v>1.1.1.1.7</v>
      </c>
      <c r="C19" s="29" t="str">
        <f>'1 lentelė'!$C19</f>
        <v>R099905-293400-1107</v>
      </c>
      <c r="D19" s="29" t="str">
        <f>'1 lentelė'!$D19</f>
        <v>Prekybos ir paslaugų pasažo įrengimas D. Bukonto gatvėje Zarasų mieste</v>
      </c>
      <c r="E19" s="26" t="s">
        <v>30</v>
      </c>
      <c r="F19" s="118" t="s">
        <v>1504</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45.5" customHeight="1" x14ac:dyDescent="0.2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920</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25">
      <c r="B21" s="29" t="str">
        <f>'1 lentelė'!$B21</f>
        <v>1.1.1.1.9</v>
      </c>
      <c r="C21" s="29" t="str">
        <f>'1 lentelė'!$C21</f>
        <v>R099905-290000-1119</v>
      </c>
      <c r="D21" s="29" t="str">
        <f>'1 lentelė'!$D21</f>
        <v xml:space="preserve">Molėtų miesto centrinės dalies kompleksinis sutvarkymas (I etapas) </v>
      </c>
      <c r="E21" s="26" t="s">
        <v>65</v>
      </c>
      <c r="F21" s="118" t="s">
        <v>921</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25">
      <c r="B22" s="29" t="str">
        <f>'1 lentelė'!$B22</f>
        <v xml:space="preserve">1.1.1.1.10 </v>
      </c>
      <c r="C22" s="29" t="str">
        <f>'1 lentelė'!$C22</f>
        <v>R099905-282900-1110</v>
      </c>
      <c r="D22" s="29" t="str">
        <f>'1 lentelė'!$D22</f>
        <v xml:space="preserve">Viešųjų erdvių Zarasų miesto Didžiojoje saloje sutvarkymas </v>
      </c>
      <c r="E22" s="26" t="s">
        <v>30</v>
      </c>
      <c r="F22" s="118" t="s">
        <v>922</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90" customHeight="1" x14ac:dyDescent="0.2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1503</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76.5" x14ac:dyDescent="0.25">
      <c r="B24" s="29" t="str">
        <f>'1 lentelė'!$B24</f>
        <v>1.1.1.1.12</v>
      </c>
      <c r="C24" s="29" t="str">
        <f>'1 lentelė'!$C24</f>
        <v>R099905-281900-1112</v>
      </c>
      <c r="D24" s="29" t="str">
        <f>'1 lentelė'!$D24</f>
        <v xml:space="preserve">Viešosios aktyvaus laisvalaikio infrastruktūros plėtra Molėtų mieste, II etapas </v>
      </c>
      <c r="E24" s="26" t="s">
        <v>65</v>
      </c>
      <c r="F24" s="118" t="s">
        <v>923</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25">
      <c r="B25" s="29" t="str">
        <f>'1 lentelė'!$B25</f>
        <v>1.1.1.1.13</v>
      </c>
      <c r="C25" s="29" t="str">
        <f>'1 lentelė'!$C25</f>
        <v>R099905-302900-1113</v>
      </c>
      <c r="D25" s="29" t="str">
        <f>'1 lentelė'!$D25</f>
        <v xml:space="preserve">Molėtų miesto J. Janonio g. gyvenamojo kvartalo viešosios infrastruktūros sutvarkymas </v>
      </c>
      <c r="E25" s="26" t="s">
        <v>65</v>
      </c>
      <c r="F25" s="118" t="s">
        <v>924</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25">
      <c r="B26" s="29" t="str">
        <f>'1 lentelė'!$B26</f>
        <v xml:space="preserve">1.1.1.1.14 </v>
      </c>
      <c r="C26" s="29" t="str">
        <f>'1 lentelė'!$C26</f>
        <v>R099905-243200-1114</v>
      </c>
      <c r="D26" s="29" t="str">
        <f>'1 lentelė'!$D26</f>
        <v xml:space="preserve">Zarasų Pauliaus Širvio progimnazijos sporto aikštyno įrengimas </v>
      </c>
      <c r="E26" s="23" t="s">
        <v>30</v>
      </c>
      <c r="F26" s="132" t="s">
        <v>925</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9"/>
      <c r="X26" s="240"/>
      <c r="Y26" s="240"/>
      <c r="Z26" s="122"/>
      <c r="AA26" s="124"/>
      <c r="AB26" s="48"/>
      <c r="AC26" s="48"/>
      <c r="AD26" s="48"/>
      <c r="AE26" s="125"/>
      <c r="AF26" s="124"/>
      <c r="AG26" s="48"/>
      <c r="AH26" s="48"/>
      <c r="AI26" s="130"/>
      <c r="AJ26" s="131"/>
      <c r="AK26" s="6"/>
    </row>
    <row r="27" spans="2:37" ht="68.25" customHeight="1" x14ac:dyDescent="0.2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35"/>
      <c r="W27" s="239"/>
      <c r="X27" s="240"/>
      <c r="Y27" s="240"/>
      <c r="Z27" s="336"/>
      <c r="AA27" s="337"/>
      <c r="AB27" s="48"/>
      <c r="AC27" s="48"/>
      <c r="AD27" s="48"/>
      <c r="AE27" s="338"/>
      <c r="AF27" s="337"/>
      <c r="AG27" s="48"/>
      <c r="AH27" s="48"/>
      <c r="AI27" s="130"/>
      <c r="AJ27" s="339"/>
      <c r="AK27" s="6"/>
    </row>
    <row r="28" spans="2:37" ht="68.25" customHeight="1" x14ac:dyDescent="0.2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35"/>
      <c r="W28" s="239"/>
      <c r="X28" s="240"/>
      <c r="Y28" s="240"/>
      <c r="Z28" s="336"/>
      <c r="AA28" s="337"/>
      <c r="AB28" s="48"/>
      <c r="AC28" s="48"/>
      <c r="AD28" s="48"/>
      <c r="AE28" s="338"/>
      <c r="AF28" s="337"/>
      <c r="AG28" s="48"/>
      <c r="AH28" s="48"/>
      <c r="AI28" s="130"/>
      <c r="AJ28" s="339"/>
      <c r="AK28" s="6"/>
    </row>
    <row r="29" spans="2:37" ht="68.25" customHeight="1" x14ac:dyDescent="0.2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35"/>
      <c r="W29" s="239"/>
      <c r="X29" s="240"/>
      <c r="Y29" s="240"/>
      <c r="Z29" s="336"/>
      <c r="AA29" s="337"/>
      <c r="AB29" s="48"/>
      <c r="AC29" s="48"/>
      <c r="AD29" s="48"/>
      <c r="AE29" s="338"/>
      <c r="AF29" s="337"/>
      <c r="AG29" s="48"/>
      <c r="AH29" s="48"/>
      <c r="AI29" s="130"/>
      <c r="AJ29" s="339"/>
      <c r="AK29" s="6"/>
    </row>
    <row r="30" spans="2:37" ht="68.25" customHeight="1" x14ac:dyDescent="0.2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35"/>
      <c r="W30" s="239"/>
      <c r="X30" s="240"/>
      <c r="Y30" s="240"/>
      <c r="Z30" s="336"/>
      <c r="AA30" s="337"/>
      <c r="AB30" s="48"/>
      <c r="AC30" s="48"/>
      <c r="AD30" s="48"/>
      <c r="AE30" s="338"/>
      <c r="AF30" s="337"/>
      <c r="AG30" s="48"/>
      <c r="AH30" s="48"/>
      <c r="AI30" s="130"/>
      <c r="AJ30" s="339"/>
      <c r="AK30" s="6"/>
    </row>
    <row r="31" spans="2:37" ht="82.5" customHeight="1" x14ac:dyDescent="0.25">
      <c r="B31" s="21" t="str">
        <f>'1 lentelė'!$B32</f>
        <v>1.1.1.2</v>
      </c>
      <c r="C31" s="21"/>
      <c r="D31" s="75" t="str">
        <f>'1 lentelė'!$D32</f>
        <v>Priemonė: Pereinamojo laikotarpio tikslinių teritorijų vystymas</v>
      </c>
      <c r="E31" s="21"/>
      <c r="F31" s="115"/>
      <c r="G31" s="21"/>
      <c r="H31" s="21"/>
      <c r="I31" s="21"/>
      <c r="J31" s="21"/>
      <c r="K31" s="21"/>
      <c r="L31" s="21"/>
      <c r="M31" s="21"/>
      <c r="N31" s="21"/>
      <c r="O31" s="21"/>
      <c r="P31" s="21"/>
      <c r="Q31" s="21"/>
      <c r="R31" s="21"/>
      <c r="S31" s="21"/>
      <c r="T31" s="21"/>
      <c r="U31" s="117"/>
      <c r="V31" s="115"/>
      <c r="W31" s="21"/>
      <c r="X31" s="21"/>
      <c r="Y31" s="21"/>
      <c r="Z31" s="238"/>
      <c r="AA31" s="115"/>
      <c r="AB31" s="21"/>
      <c r="AC31" s="21"/>
      <c r="AD31" s="21"/>
      <c r="AE31" s="238"/>
      <c r="AF31" s="115"/>
      <c r="AG31" s="21"/>
      <c r="AH31" s="21"/>
      <c r="AI31" s="21"/>
      <c r="AJ31" s="238"/>
      <c r="AK31" s="6"/>
    </row>
    <row r="32" spans="2:37" ht="70.5" customHeight="1" x14ac:dyDescent="0.25">
      <c r="B32" s="29" t="str">
        <f>'1 lentelė'!$B33</f>
        <v>1.1.1.2.1</v>
      </c>
      <c r="C32" s="29" t="str">
        <f>'1 lentelė'!$C33</f>
        <v>R099903-300000-1115</v>
      </c>
      <c r="D32" s="29" t="str">
        <f>'1 lentelė'!$D33</f>
        <v xml:space="preserve">Daugiabučių namų kvartalų Ignalinos mieste kompleksinis sutvarkymas </v>
      </c>
      <c r="E32" s="23" t="s">
        <v>65</v>
      </c>
      <c r="F32" s="118" t="s">
        <v>926</v>
      </c>
      <c r="G32" s="119" t="str">
        <f>'2 lentelė'!$E33</f>
        <v>P.B.238</v>
      </c>
      <c r="H32" s="26" t="str">
        <f>'2 lentelė'!$F33</f>
        <v>Sukurtos arba atnaujintos atviros erdvės miestų vietovėse</v>
      </c>
      <c r="I32" s="26">
        <f>'2 lentelė'!$G33</f>
        <v>8290.23</v>
      </c>
      <c r="J32" s="26">
        <v>6145</v>
      </c>
      <c r="K32" s="26">
        <v>8290.23</v>
      </c>
      <c r="L32" s="119"/>
      <c r="M32" s="26"/>
      <c r="N32" s="26"/>
      <c r="O32" s="23"/>
      <c r="P32" s="122"/>
      <c r="Q32" s="121"/>
      <c r="R32" s="23"/>
      <c r="S32" s="23"/>
      <c r="T32" s="31"/>
      <c r="U32" s="134"/>
      <c r="V32" s="123"/>
      <c r="W32" s="241"/>
      <c r="X32" s="67"/>
      <c r="Y32" s="67"/>
      <c r="Z32" s="122"/>
      <c r="AA32" s="124"/>
      <c r="AB32" s="48"/>
      <c r="AC32" s="48"/>
      <c r="AD32" s="48"/>
      <c r="AE32" s="125"/>
      <c r="AF32" s="124"/>
      <c r="AG32" s="48"/>
      <c r="AH32" s="48"/>
      <c r="AI32" s="130"/>
      <c r="AJ32" s="131"/>
      <c r="AK32" s="6"/>
    </row>
    <row r="33" spans="2:41" ht="109.5" customHeight="1" x14ac:dyDescent="0.25">
      <c r="B33" s="29" t="str">
        <f>'1 lentelė'!$B34</f>
        <v>1.1.1.2.2</v>
      </c>
      <c r="C33" s="29" t="str">
        <f>'1 lentelė'!$C34</f>
        <v>R099902-310000-1116</v>
      </c>
      <c r="D33" s="29" t="str">
        <f>'1 lentelė'!$D34</f>
        <v xml:space="preserve">Apleistų/avarinių pastatų nugriovimas ir teritorijos valymas, regeneruojant buvusį karinį miestelį </v>
      </c>
      <c r="E33" s="23" t="s">
        <v>65</v>
      </c>
      <c r="F33" s="118" t="s">
        <v>927</v>
      </c>
      <c r="G33" s="119" t="str">
        <f>'2 lentelė'!$E34</f>
        <v>P.B.238</v>
      </c>
      <c r="H33" s="26" t="str">
        <f>'2 lentelė'!$F34</f>
        <v>Sukurtos arba atnaujintos atviros erdvės miestų vietovėse</v>
      </c>
      <c r="I33" s="26">
        <f>'2 lentelė'!$G34</f>
        <v>88445</v>
      </c>
      <c r="J33" s="26">
        <v>88445</v>
      </c>
      <c r="K33" s="120">
        <v>0</v>
      </c>
      <c r="L33" s="119" t="str">
        <f>'2 lentelė'!$H34</f>
        <v>P.B.239</v>
      </c>
      <c r="M33" s="26" t="str">
        <f>'2 lentelė'!$I34</f>
        <v>Pastatyti arba atnaujinti viešieji arba komerciniai pastatai miesto vietovėje –m2;</v>
      </c>
      <c r="N33" s="26">
        <f>'2 lentelė'!$J34</f>
        <v>800</v>
      </c>
      <c r="O33" s="26">
        <v>800</v>
      </c>
      <c r="P33" s="120">
        <v>0</v>
      </c>
      <c r="Q33" s="121"/>
      <c r="R33" s="23"/>
      <c r="S33" s="23"/>
      <c r="T33" s="31"/>
      <c r="U33" s="134"/>
      <c r="V33" s="123"/>
      <c r="W33" s="31"/>
      <c r="X33" s="23"/>
      <c r="Y33" s="23"/>
      <c r="Z33" s="122"/>
      <c r="AA33" s="124"/>
      <c r="AB33" s="48"/>
      <c r="AC33" s="48"/>
      <c r="AD33" s="48"/>
      <c r="AE33" s="125"/>
      <c r="AF33" s="124"/>
      <c r="AG33" s="48"/>
      <c r="AH33" s="48"/>
      <c r="AI33" s="130"/>
      <c r="AJ33" s="131"/>
      <c r="AK33" s="6"/>
    </row>
    <row r="34" spans="2:41" ht="72.75" customHeight="1" x14ac:dyDescent="0.25">
      <c r="B34" s="29" t="str">
        <f>'1 lentelė'!$B35</f>
        <v>1.1.1.2.3</v>
      </c>
      <c r="C34" s="29" t="str">
        <f>'1 lentelė'!$C35</f>
        <v>R099902-300000-1117</v>
      </c>
      <c r="D34" s="29" t="str">
        <f>'1 lentelė'!$D35</f>
        <v xml:space="preserve">Dauniškio daugiabučių namų kvartalo teritorijos sutvarkymas </v>
      </c>
      <c r="E34" s="23" t="s">
        <v>65</v>
      </c>
      <c r="F34" s="118" t="s">
        <v>928</v>
      </c>
      <c r="G34" s="119" t="str">
        <f>'2 lentelė'!$E35</f>
        <v>P.B.238</v>
      </c>
      <c r="H34" s="26" t="str">
        <f>'2 lentelė'!$F35</f>
        <v>Sukurtos arba atnaujintos atviros erdvės miestų vietovėse, m2</v>
      </c>
      <c r="I34" s="26">
        <f>'2 lentelė'!$G35</f>
        <v>55516.7</v>
      </c>
      <c r="J34" s="26">
        <v>55471</v>
      </c>
      <c r="K34" s="120">
        <v>55516.7</v>
      </c>
      <c r="L34" s="119"/>
      <c r="M34" s="26"/>
      <c r="N34" s="26"/>
      <c r="O34" s="23"/>
      <c r="P34" s="122"/>
      <c r="Q34" s="121"/>
      <c r="R34" s="23"/>
      <c r="S34" s="23"/>
      <c r="T34" s="31"/>
      <c r="U34" s="134"/>
      <c r="V34" s="123"/>
      <c r="W34" s="31"/>
      <c r="X34" s="23"/>
      <c r="Y34" s="23"/>
      <c r="Z34" s="122"/>
      <c r="AA34" s="124"/>
      <c r="AB34" s="48"/>
      <c r="AC34" s="48"/>
      <c r="AD34" s="48"/>
      <c r="AE34" s="125"/>
      <c r="AF34" s="124"/>
      <c r="AG34" s="48"/>
      <c r="AH34" s="48"/>
      <c r="AI34" s="64"/>
      <c r="AJ34" s="126"/>
      <c r="AK34" s="6"/>
    </row>
    <row r="35" spans="2:41" ht="170.25" customHeight="1" x14ac:dyDescent="0.25">
      <c r="B35" s="19" t="str">
        <f>'1 lentelė'!$B36</f>
        <v xml:space="preserve">1.1.2 </v>
      </c>
      <c r="C35" s="19"/>
      <c r="D35" s="20" t="str">
        <f>'1 lentelė'!$D36</f>
        <v>Uždavinys: Kompleksiškai atnaujinti 1-6 tūkst. gyventojų turinčių miestų (išskyrus savivaldybių centrus), miestelių ir kaimų bendruomeninę ir viešąją infrastruktūrą</v>
      </c>
      <c r="E35" s="19"/>
      <c r="F35" s="113"/>
      <c r="G35" s="19"/>
      <c r="H35" s="19"/>
      <c r="I35" s="19"/>
      <c r="J35" s="19"/>
      <c r="K35" s="113"/>
      <c r="L35" s="19"/>
      <c r="M35" s="19"/>
      <c r="N35" s="19"/>
      <c r="O35" s="19"/>
      <c r="P35" s="113"/>
      <c r="Q35" s="19"/>
      <c r="R35" s="19"/>
      <c r="S35" s="19"/>
      <c r="T35" s="20"/>
      <c r="U35" s="113"/>
      <c r="V35" s="19"/>
      <c r="W35" s="19"/>
      <c r="X35" s="19"/>
      <c r="Y35" s="20"/>
      <c r="Z35" s="113"/>
      <c r="AA35" s="19"/>
      <c r="AB35" s="19"/>
      <c r="AC35" s="19"/>
      <c r="AD35" s="20"/>
      <c r="AE35" s="113"/>
      <c r="AF35" s="19"/>
      <c r="AG35" s="19"/>
      <c r="AH35" s="19"/>
      <c r="AI35" s="20"/>
      <c r="AJ35" s="113"/>
      <c r="AK35" s="6"/>
    </row>
    <row r="36" spans="2:41" ht="76.5" customHeight="1" x14ac:dyDescent="0.25">
      <c r="B36" s="21" t="str">
        <f>'1 lentelė'!$B37</f>
        <v>1.1.2.1</v>
      </c>
      <c r="C36" s="21"/>
      <c r="D36" s="75" t="str">
        <f>'1 lentelė'!$D37</f>
        <v>Priemonė: Kaimo gyvenamųjų vietovių atnaujinimas</v>
      </c>
      <c r="E36" s="21"/>
      <c r="F36" s="117"/>
      <c r="G36" s="21"/>
      <c r="H36" s="21"/>
      <c r="I36" s="21"/>
      <c r="J36" s="21"/>
      <c r="K36" s="117"/>
      <c r="L36" s="21"/>
      <c r="M36" s="21"/>
      <c r="N36" s="21"/>
      <c r="O36" s="21"/>
      <c r="P36" s="117"/>
      <c r="Q36" s="115"/>
      <c r="R36" s="21"/>
      <c r="S36" s="21"/>
      <c r="T36" s="21"/>
      <c r="U36" s="117"/>
      <c r="V36" s="115"/>
      <c r="W36" s="21"/>
      <c r="X36" s="21"/>
      <c r="Y36" s="21"/>
      <c r="Z36" s="117"/>
      <c r="AA36" s="115"/>
      <c r="AB36" s="21"/>
      <c r="AC36" s="21"/>
      <c r="AD36" s="21"/>
      <c r="AE36" s="117"/>
      <c r="AF36" s="115"/>
      <c r="AG36" s="21"/>
      <c r="AH36" s="21"/>
      <c r="AI36" s="21"/>
      <c r="AJ36" s="117"/>
      <c r="AK36" s="6"/>
    </row>
    <row r="37" spans="2:41" ht="106.5" customHeight="1" x14ac:dyDescent="0.25">
      <c r="B37" s="29" t="str">
        <f>'1 lentelė'!$B38</f>
        <v>1.1.2.1.1</v>
      </c>
      <c r="C37" s="29" t="str">
        <f>'1 lentelė'!$C38</f>
        <v xml:space="preserve"> R099908-293300-1118</v>
      </c>
      <c r="D37" s="29" t="str">
        <f>'1 lentelė'!$D38</f>
        <v>Didžiasalio kaimo viešųjų erdvių atnaujinimas ir pastato dalies patalpų pritaikymas bendruomenės poreikiams</v>
      </c>
      <c r="E37" s="23" t="s">
        <v>87</v>
      </c>
      <c r="F37" s="118" t="s">
        <v>929</v>
      </c>
      <c r="G37" s="119" t="str">
        <f>'2 lentelė'!$E38</f>
        <v>P.S.364</v>
      </c>
      <c r="H37" s="26" t="str">
        <f>'2 lentelė'!$F38</f>
        <v>Naujos atviros erdvės vietovėse nuo 1 iki 6 tūkst. gyv. (išskyrus savivaldybių centrus) (kv. m)</v>
      </c>
      <c r="I37" s="26">
        <f>'2 lentelė'!$G38</f>
        <v>43328.23</v>
      </c>
      <c r="J37" s="26">
        <v>34503</v>
      </c>
      <c r="K37" s="133">
        <v>43328.23</v>
      </c>
      <c r="L37" s="119" t="str">
        <f>'2 lentelė'!$H38</f>
        <v>P.S.365</v>
      </c>
      <c r="M37" s="26" t="str">
        <f>'2 lentelė'!$I38</f>
        <v>Atnaujinti ir pritaikyti naujai paskirčiai pastatai ir statiniai kaimo vietovėse, kv. m.</v>
      </c>
      <c r="N37" s="26">
        <f>'2 lentelė'!$J38</f>
        <v>84.82</v>
      </c>
      <c r="O37" s="26">
        <v>84.82</v>
      </c>
      <c r="P37" s="120">
        <v>84.82</v>
      </c>
      <c r="Q37" s="121"/>
      <c r="R37" s="23"/>
      <c r="S37" s="23"/>
      <c r="T37" s="23"/>
      <c r="U37" s="122"/>
      <c r="V37" s="123"/>
      <c r="W37" s="31"/>
      <c r="X37" s="23"/>
      <c r="Y37" s="23"/>
      <c r="Z37" s="122"/>
      <c r="AA37" s="124"/>
      <c r="AB37" s="48"/>
      <c r="AC37" s="48"/>
      <c r="AD37" s="64"/>
      <c r="AE37" s="135"/>
      <c r="AF37" s="124"/>
      <c r="AG37" s="48"/>
      <c r="AH37" s="48"/>
      <c r="AI37" s="48"/>
      <c r="AJ37" s="136"/>
      <c r="AK37" s="6"/>
      <c r="AL37" s="6"/>
      <c r="AM37" s="6"/>
      <c r="AN37" s="6"/>
    </row>
    <row r="38" spans="2:41" ht="181.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137"/>
      <c r="G38" s="42"/>
      <c r="H38" s="42"/>
      <c r="I38" s="42"/>
      <c r="J38" s="42"/>
      <c r="K38" s="137"/>
      <c r="L38" s="42"/>
      <c r="M38" s="42"/>
      <c r="N38" s="42"/>
      <c r="O38" s="42"/>
      <c r="P38" s="137"/>
      <c r="Q38" s="42"/>
      <c r="R38" s="42"/>
      <c r="S38" s="42"/>
      <c r="T38" s="42"/>
      <c r="U38" s="137"/>
      <c r="V38" s="42"/>
      <c r="W38" s="42"/>
      <c r="X38" s="42"/>
      <c r="Y38" s="42"/>
      <c r="Z38" s="137"/>
      <c r="AA38" s="42"/>
      <c r="AB38" s="42"/>
      <c r="AC38" s="42"/>
      <c r="AD38" s="42"/>
      <c r="AE38" s="137"/>
      <c r="AF38" s="42"/>
      <c r="AG38" s="42"/>
      <c r="AH38" s="42"/>
      <c r="AI38" s="42"/>
      <c r="AJ38" s="137"/>
      <c r="AK38" s="6"/>
      <c r="AL38" s="6"/>
      <c r="AM38" s="6"/>
      <c r="AN38" s="6"/>
      <c r="AO38" s="6"/>
    </row>
    <row r="39" spans="2:41" ht="96" customHeight="1" x14ac:dyDescent="0.25">
      <c r="B39" s="44" t="str">
        <f>'1 lentelė'!$B40</f>
        <v xml:space="preserve">1.1.3.1 </v>
      </c>
      <c r="C39" s="44"/>
      <c r="D39" s="76" t="str">
        <f>'1 lentelė'!$D40</f>
        <v>Priemonė (KPP veiklos sritis): Parama investicijoms į visų rūšių mažos apimties infrastruktūrą</v>
      </c>
      <c r="E39" s="44"/>
      <c r="F39" s="138"/>
      <c r="G39" s="44"/>
      <c r="H39" s="44"/>
      <c r="I39" s="44"/>
      <c r="J39" s="44"/>
      <c r="K39" s="138"/>
      <c r="L39" s="44"/>
      <c r="M39" s="44"/>
      <c r="N39" s="44"/>
      <c r="O39" s="44"/>
      <c r="P39" s="138"/>
      <c r="Q39" s="44"/>
      <c r="R39" s="44"/>
      <c r="S39" s="44"/>
      <c r="T39" s="44"/>
      <c r="U39" s="138"/>
      <c r="V39" s="44"/>
      <c r="W39" s="44"/>
      <c r="X39" s="44"/>
      <c r="Y39" s="44"/>
      <c r="Z39" s="138"/>
      <c r="AA39" s="44"/>
      <c r="AB39" s="44"/>
      <c r="AC39" s="44"/>
      <c r="AD39" s="44"/>
      <c r="AE39" s="138"/>
      <c r="AF39" s="44"/>
      <c r="AG39" s="44"/>
      <c r="AH39" s="44"/>
      <c r="AI39" s="44"/>
      <c r="AJ39" s="138"/>
      <c r="AK39" s="6"/>
    </row>
    <row r="40" spans="2:41" ht="68.25" customHeight="1" x14ac:dyDescent="0.25">
      <c r="B40" s="26" t="str">
        <f>'1 lentelė'!B41</f>
        <v>1.1.3.1.-1.1.3.28</v>
      </c>
      <c r="C40" s="26"/>
      <c r="D40" s="323" t="str">
        <f>'1 lentelė'!D41</f>
        <v>Pagrindinės paslaugos ir kaimų atnaujinimas kaimo vietovėse</v>
      </c>
      <c r="E40" s="26" t="s">
        <v>66</v>
      </c>
      <c r="F40" s="120" t="s">
        <v>1469</v>
      </c>
      <c r="G40" s="26"/>
      <c r="H40" s="26" t="s">
        <v>1470</v>
      </c>
      <c r="I40" s="26">
        <v>30</v>
      </c>
      <c r="J40" s="26">
        <v>30</v>
      </c>
      <c r="K40" s="120">
        <v>15</v>
      </c>
      <c r="L40" s="26"/>
      <c r="M40" s="26"/>
      <c r="N40" s="26"/>
      <c r="O40" s="26"/>
      <c r="P40" s="120"/>
      <c r="Q40" s="26"/>
      <c r="R40" s="26"/>
      <c r="S40" s="26"/>
      <c r="T40" s="26"/>
      <c r="U40" s="120"/>
      <c r="V40" s="26"/>
      <c r="W40" s="26"/>
      <c r="X40" s="26"/>
      <c r="Y40" s="26"/>
      <c r="Z40" s="120"/>
      <c r="AA40" s="26"/>
      <c r="AB40" s="26"/>
      <c r="AC40" s="26"/>
      <c r="AD40" s="26"/>
      <c r="AE40" s="120"/>
      <c r="AF40" s="26"/>
      <c r="AG40" s="26"/>
      <c r="AH40" s="26"/>
      <c r="AI40" s="26"/>
      <c r="AJ40" s="120"/>
      <c r="AK40" s="6"/>
    </row>
    <row r="41" spans="2:41" ht="110.25" customHeight="1" x14ac:dyDescent="0.25">
      <c r="B41" s="44" t="str">
        <f>'1 lentelė'!$B42</f>
        <v>1.1.3.2</v>
      </c>
      <c r="C41" s="44"/>
      <c r="D41" s="76" t="str">
        <f>'1 lentelė'!$D42</f>
        <v>Priemonė (KPP veiklos sritis): Parama investicijoms į kaimo kultūros ir gamtos paveldą, kraštovaizdį</v>
      </c>
      <c r="E41" s="44"/>
      <c r="F41" s="138"/>
      <c r="G41" s="44"/>
      <c r="H41" s="44"/>
      <c r="I41" s="44"/>
      <c r="J41" s="44"/>
      <c r="K41" s="138"/>
      <c r="L41" s="44"/>
      <c r="M41" s="44"/>
      <c r="N41" s="44"/>
      <c r="O41" s="44"/>
      <c r="P41" s="138"/>
      <c r="Q41" s="44"/>
      <c r="R41" s="44"/>
      <c r="S41" s="44"/>
      <c r="T41" s="44"/>
      <c r="U41" s="138"/>
      <c r="V41" s="44"/>
      <c r="W41" s="44"/>
      <c r="X41" s="44"/>
      <c r="Y41" s="44"/>
      <c r="Z41" s="138"/>
      <c r="AA41" s="44"/>
      <c r="AB41" s="44"/>
      <c r="AC41" s="44"/>
      <c r="AD41" s="44"/>
      <c r="AE41" s="138"/>
      <c r="AF41" s="44"/>
      <c r="AG41" s="44"/>
      <c r="AH41" s="44"/>
      <c r="AI41" s="44"/>
      <c r="AJ41" s="138"/>
      <c r="AK41" s="6"/>
    </row>
    <row r="42" spans="2:41" ht="103.5" customHeight="1" x14ac:dyDescent="0.25">
      <c r="B42" s="46" t="str">
        <f>'1 lentelė'!$B43</f>
        <v xml:space="preserve">1.2 </v>
      </c>
      <c r="C42" s="46"/>
      <c r="D42" s="46" t="str">
        <f>'1 lentelė'!$D43</f>
        <v>Tikslas: Modernios regiono transporto infrastruktūros ir darnaus judumo plėtojimas</v>
      </c>
      <c r="E42" s="46"/>
      <c r="F42" s="139"/>
      <c r="G42" s="46"/>
      <c r="H42" s="46"/>
      <c r="I42" s="46"/>
      <c r="J42" s="46"/>
      <c r="K42" s="139"/>
      <c r="L42" s="46"/>
      <c r="M42" s="46"/>
      <c r="N42" s="46"/>
      <c r="O42" s="46"/>
      <c r="P42" s="139"/>
      <c r="Q42" s="46"/>
      <c r="R42" s="46"/>
      <c r="S42" s="46"/>
      <c r="T42" s="46"/>
      <c r="U42" s="139"/>
      <c r="V42" s="46"/>
      <c r="W42" s="46"/>
      <c r="X42" s="46"/>
      <c r="Y42" s="45"/>
      <c r="Z42" s="140"/>
      <c r="AA42" s="46"/>
      <c r="AB42" s="46"/>
      <c r="AC42" s="46"/>
      <c r="AD42" s="46"/>
      <c r="AE42" s="139"/>
      <c r="AF42" s="46"/>
      <c r="AG42" s="46"/>
      <c r="AH42" s="46"/>
      <c r="AI42" s="45"/>
      <c r="AJ42" s="140"/>
      <c r="AK42" s="6"/>
    </row>
    <row r="43" spans="2:41" ht="66" customHeight="1" x14ac:dyDescent="0.25">
      <c r="B43" s="42" t="str">
        <f>'1 lentelė'!$B44</f>
        <v xml:space="preserve">1.2.1 </v>
      </c>
      <c r="C43" s="42"/>
      <c r="D43" s="42" t="str">
        <f>'1 lentelė'!$D44</f>
        <v>Uždavinys: Kompleksiškai modernizuoti kelių transporto infrastruktūrą</v>
      </c>
      <c r="E43" s="42"/>
      <c r="F43" s="137"/>
      <c r="G43" s="42"/>
      <c r="H43" s="42"/>
      <c r="I43" s="42"/>
      <c r="J43" s="42"/>
      <c r="K43" s="137"/>
      <c r="L43" s="42"/>
      <c r="M43" s="42"/>
      <c r="N43" s="42"/>
      <c r="O43" s="42"/>
      <c r="P43" s="137"/>
      <c r="Q43" s="42"/>
      <c r="R43" s="42"/>
      <c r="S43" s="42"/>
      <c r="T43" s="42"/>
      <c r="U43" s="137"/>
      <c r="V43" s="42"/>
      <c r="W43" s="42"/>
      <c r="X43" s="42"/>
      <c r="Y43" s="42"/>
      <c r="Z43" s="137"/>
      <c r="AA43" s="42"/>
      <c r="AB43" s="42"/>
      <c r="AC43" s="42"/>
      <c r="AD43" s="42"/>
      <c r="AE43" s="137"/>
      <c r="AF43" s="42"/>
      <c r="AG43" s="42"/>
      <c r="AH43" s="42"/>
      <c r="AI43" s="42"/>
      <c r="AJ43" s="137"/>
      <c r="AK43" s="6"/>
    </row>
    <row r="44" spans="2:41" ht="42" customHeight="1" x14ac:dyDescent="0.25">
      <c r="B44" s="44" t="str">
        <f>'1 lentelė'!$B45</f>
        <v>1.2.1.1</v>
      </c>
      <c r="C44" s="44"/>
      <c r="D44" s="76" t="str">
        <f>'1 lentelė'!$D45</f>
        <v>Priemonė:Vietinių kelių vystymas</v>
      </c>
      <c r="E44" s="44"/>
      <c r="F44" s="138"/>
      <c r="G44" s="44"/>
      <c r="H44" s="44"/>
      <c r="I44" s="44"/>
      <c r="J44" s="44"/>
      <c r="K44" s="138"/>
      <c r="L44" s="44"/>
      <c r="M44" s="44"/>
      <c r="N44" s="44"/>
      <c r="O44" s="44"/>
      <c r="P44" s="138"/>
      <c r="Q44" s="44"/>
      <c r="R44" s="44"/>
      <c r="S44" s="44"/>
      <c r="T44" s="44"/>
      <c r="U44" s="138"/>
      <c r="V44" s="44"/>
      <c r="W44" s="44"/>
      <c r="X44" s="44"/>
      <c r="Y44" s="44"/>
      <c r="Z44" s="138"/>
      <c r="AA44" s="44"/>
      <c r="AB44" s="44"/>
      <c r="AC44" s="44"/>
      <c r="AD44" s="44"/>
      <c r="AE44" s="138"/>
      <c r="AF44" s="44"/>
      <c r="AG44" s="44"/>
      <c r="AH44" s="44"/>
      <c r="AI44" s="44"/>
      <c r="AJ44" s="138"/>
      <c r="AK44" s="6"/>
    </row>
    <row r="45" spans="2:41" ht="78.75" customHeight="1" x14ac:dyDescent="0.25">
      <c r="B45" s="29" t="str">
        <f>'1 lentelė'!$B46</f>
        <v>1.2.1.1.1</v>
      </c>
      <c r="C45" s="29" t="str">
        <f>'1 lentelė'!$C46</f>
        <v>R095511-110000-1201</v>
      </c>
      <c r="D45" s="29" t="str">
        <f>'1 lentelė'!$D46</f>
        <v>Gatvės Ignalinos miesto rekreacinėje zonoje tarp Gavio ežero ir Turistų gatvės įrengimas</v>
      </c>
      <c r="E45" s="29" t="s">
        <v>65</v>
      </c>
      <c r="F45" s="118" t="s">
        <v>930</v>
      </c>
      <c r="G45" s="119" t="str">
        <f>'2 lentelė'!$E46</f>
        <v>P.N.508</v>
      </c>
      <c r="H45" s="26" t="str">
        <f>'2 lentelė'!$F46</f>
        <v>Bendras naujai nutiestų kelių ilgis, km.</v>
      </c>
      <c r="I45" s="47">
        <f>'2 lentelė'!$G46</f>
        <v>0.34699999999999998</v>
      </c>
      <c r="J45" s="47">
        <v>0.34699999999999998</v>
      </c>
      <c r="K45" s="141">
        <v>0</v>
      </c>
      <c r="L45" s="119"/>
      <c r="M45" s="26"/>
      <c r="N45" s="26"/>
      <c r="O45" s="26"/>
      <c r="P45" s="120"/>
      <c r="Q45" s="121"/>
      <c r="R45" s="23"/>
      <c r="S45" s="23"/>
      <c r="T45" s="23"/>
      <c r="U45" s="122"/>
      <c r="V45" s="123"/>
      <c r="W45" s="31"/>
      <c r="X45" s="23"/>
      <c r="Y45" s="23"/>
      <c r="Z45" s="122"/>
      <c r="AA45" s="124"/>
      <c r="AB45" s="48"/>
      <c r="AC45" s="48"/>
      <c r="AD45" s="64"/>
      <c r="AE45" s="135"/>
      <c r="AF45" s="124"/>
      <c r="AG45" s="48"/>
      <c r="AH45" s="48"/>
      <c r="AI45" s="64"/>
      <c r="AJ45" s="126"/>
      <c r="AK45" s="6"/>
    </row>
    <row r="46" spans="2:41" ht="63.75" x14ac:dyDescent="0.25">
      <c r="B46" s="29" t="str">
        <f>'1 lentelė'!$B47</f>
        <v xml:space="preserve">1.2.1.1.2 </v>
      </c>
      <c r="C46" s="29" t="str">
        <f>'1 lentelė'!$C47</f>
        <v>R095511-120000-1202</v>
      </c>
      <c r="D46" s="29" t="str">
        <f>'1 lentelė'!$D47</f>
        <v>Zarasų gatvės rekonstrukcija Zarasų mieste</v>
      </c>
      <c r="E46" s="29" t="s">
        <v>65</v>
      </c>
      <c r="F46" s="118" t="s">
        <v>1455</v>
      </c>
      <c r="G46" s="119" t="str">
        <f>'2 lentelė'!$E47</f>
        <v>P.B.214</v>
      </c>
      <c r="H46" s="26" t="str">
        <f>'2 lentelė'!$F47</f>
        <v>Bendras rekonstruotų arba atnaujintų kelių ilgis, km</v>
      </c>
      <c r="I46" s="26">
        <f>'2 lentelė'!$G47</f>
        <v>0.13</v>
      </c>
      <c r="J46" s="26">
        <v>0.13</v>
      </c>
      <c r="K46" s="120">
        <v>0</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141.75" customHeight="1" x14ac:dyDescent="0.25">
      <c r="B47" s="29" t="str">
        <f>'1 lentelė'!$B48</f>
        <v>1.2.1.1.3</v>
      </c>
      <c r="C47" s="29" t="str">
        <f>'1 lentelė'!$C48</f>
        <v>R095511-121100-1203</v>
      </c>
      <c r="D47" s="29" t="str">
        <f>'1 lentelė'!$D48</f>
        <v xml:space="preserve">Susisiekimo sąlygų pagerinimas tarp kuriamų Anykščių miesto traukos centrų bei patogus gyvenamosios aplinkos pasiekiamumo užtikrinimas. </v>
      </c>
      <c r="E47" s="29" t="s">
        <v>65</v>
      </c>
      <c r="F47" s="118" t="s">
        <v>931</v>
      </c>
      <c r="G47" s="119" t="str">
        <f>'2 lentelė'!$E48</f>
        <v>P.B.214</v>
      </c>
      <c r="H47" s="26" t="str">
        <f>'2 lentelė'!$F48</f>
        <v>Bendras rekonstruotų arba atnaujintų kelių ilgis, km</v>
      </c>
      <c r="I47" s="47">
        <f>'2 lentelė'!$G48</f>
        <v>1.0089999999999999</v>
      </c>
      <c r="J47" s="47">
        <v>1.0089999999999999</v>
      </c>
      <c r="K47" s="141">
        <v>1.0089999999999999</v>
      </c>
      <c r="L47" s="119" t="str">
        <f>'2 lentelė'!$H48</f>
        <v>P.S.342</v>
      </c>
      <c r="M47" s="26" t="str">
        <f>'2 lentelė'!$I48</f>
        <v>Įdiegtos saugų eismų gerinančios ir aplinkosaugos priemonės, vnt.</v>
      </c>
      <c r="N47" s="26">
        <f>'2 lentelė'!$J48</f>
        <v>4</v>
      </c>
      <c r="O47" s="26">
        <v>4</v>
      </c>
      <c r="P47" s="120">
        <v>4</v>
      </c>
      <c r="Q47" s="121" t="str">
        <f>'2 lentelė'!$K48</f>
        <v>P.N.508</v>
      </c>
      <c r="R47" s="23" t="str">
        <f>'2 lentelė'!$L48</f>
        <v>Bendras naujai nutiestų kelių ilgis, km.</v>
      </c>
      <c r="S47" s="23">
        <f>'2 lentelė'!$M48</f>
        <v>0.23599999999999999</v>
      </c>
      <c r="T47" s="47">
        <v>0.23599999999999999</v>
      </c>
      <c r="U47" s="141">
        <v>0.23599999999999999</v>
      </c>
      <c r="V47" s="123"/>
      <c r="W47" s="31"/>
      <c r="X47" s="23"/>
      <c r="Y47" s="48"/>
      <c r="Z47" s="125"/>
      <c r="AA47" s="124"/>
      <c r="AB47" s="48"/>
      <c r="AC47" s="48"/>
      <c r="AD47" s="64"/>
      <c r="AE47" s="135"/>
      <c r="AF47" s="124"/>
      <c r="AG47" s="48"/>
      <c r="AH47" s="48"/>
      <c r="AI47" s="64"/>
      <c r="AJ47" s="126"/>
      <c r="AK47" s="6"/>
    </row>
    <row r="48" spans="2:41" ht="90" customHeight="1" x14ac:dyDescent="0.25">
      <c r="B48" s="29" t="str">
        <f>'1 lentelė'!$B49</f>
        <v>1.2.1.1.4</v>
      </c>
      <c r="C48" s="29" t="str">
        <f>'1 lentelė'!$C49</f>
        <v>R095511-120000-1204</v>
      </c>
      <c r="D48" s="29" t="str">
        <f>'1 lentelė'!$D49</f>
        <v>Gyvenamosios aplinkos pasiekiamumo gerinimas Zarasų mieste rekonstruojant K. Donelaičio gatvę</v>
      </c>
      <c r="E48" s="29" t="s">
        <v>65</v>
      </c>
      <c r="F48" s="118" t="s">
        <v>932</v>
      </c>
      <c r="G48" s="119" t="str">
        <f>'2 lentelė'!$E49</f>
        <v>P.B.214</v>
      </c>
      <c r="H48" s="26" t="str">
        <f>'2 lentelė'!$F49</f>
        <v>Bendras rekonstruotų arba atnaujintų kelių ilgis, km</v>
      </c>
      <c r="I48" s="26">
        <f>'2 lentelė'!$G49</f>
        <v>1.23</v>
      </c>
      <c r="J48" s="26">
        <v>1.23</v>
      </c>
      <c r="K48" s="120">
        <v>1.23</v>
      </c>
      <c r="L48" s="119" t="str">
        <f>'2 lentelė'!$H49</f>
        <v>P.S.342</v>
      </c>
      <c r="M48" s="26" t="str">
        <f>'2 lentelė'!$I49</f>
        <v>Įdiegtos saugų eismų gerinančios ir aplinkosaugos priemonės, vnt.</v>
      </c>
      <c r="N48" s="26">
        <f>'2 lentelė'!$J49</f>
        <v>1</v>
      </c>
      <c r="O48" s="26">
        <v>1</v>
      </c>
      <c r="P48" s="120">
        <v>1</v>
      </c>
      <c r="Q48" s="121"/>
      <c r="R48" s="23"/>
      <c r="S48" s="23"/>
      <c r="T48" s="26"/>
      <c r="U48" s="120"/>
      <c r="V48" s="123"/>
      <c r="W48" s="31"/>
      <c r="X48" s="23"/>
      <c r="Y48" s="23"/>
      <c r="Z48" s="122"/>
      <c r="AA48" s="124"/>
      <c r="AB48" s="48"/>
      <c r="AC48" s="48"/>
      <c r="AD48" s="64"/>
      <c r="AE48" s="135"/>
      <c r="AF48" s="124"/>
      <c r="AG48" s="48"/>
      <c r="AH48" s="48"/>
      <c r="AI48" s="64"/>
      <c r="AJ48" s="126"/>
      <c r="AK48" s="6"/>
    </row>
    <row r="49" spans="2:37" ht="78.75" customHeight="1" x14ac:dyDescent="0.25">
      <c r="B49" s="29" t="str">
        <f>'1 lentelė'!$B50</f>
        <v>1.2.1.1.5</v>
      </c>
      <c r="C49" s="29" t="str">
        <f>'1 lentelė'!$C50</f>
        <v>R095511-120000-1205</v>
      </c>
      <c r="D49" s="29" t="str">
        <f>'1 lentelė'!$D50</f>
        <v xml:space="preserve">Molėtų miesto Pastovio g., Siesarties g. ir S. Nėries g. rekonstrukcija </v>
      </c>
      <c r="E49" s="29" t="s">
        <v>65</v>
      </c>
      <c r="F49" s="118" t="s">
        <v>933</v>
      </c>
      <c r="G49" s="119" t="str">
        <f>'2 lentelė'!$E50</f>
        <v>P.B.214</v>
      </c>
      <c r="H49" s="26" t="str">
        <f>'2 lentelė'!$F50</f>
        <v>Bendras rekonstruotų arba atnaujintų kelių ilgis, km</v>
      </c>
      <c r="I49" s="26">
        <f>'2 lentelė'!$G50</f>
        <v>0.71</v>
      </c>
      <c r="J49" s="26">
        <v>0.71</v>
      </c>
      <c r="K49" s="120">
        <v>0.71</v>
      </c>
      <c r="L49" s="119" t="str">
        <f>'2 lentelė'!$H50</f>
        <v>P.S.342</v>
      </c>
      <c r="M49" s="26" t="str">
        <f>'2 lentelė'!$I50</f>
        <v>Įdiegtos saugų eismų gerinančios ir aplinkosaugos priemonės, vnt.</v>
      </c>
      <c r="N49" s="26">
        <f>'2 lentelė'!$J50</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104.25" customHeight="1" x14ac:dyDescent="0.25">
      <c r="B50" s="29" t="str">
        <f>'1 lentelė'!$B51</f>
        <v>1.2.1.1.6</v>
      </c>
      <c r="C50" s="29" t="str">
        <f>'1 lentelė'!$C51</f>
        <v>R095511-120000-1206</v>
      </c>
      <c r="D50" s="29" t="str">
        <f>'1 lentelė'!$D51</f>
        <v xml:space="preserve">Aušros gatvės dalies nuo Gedimino ir Tauragnų gatvių sankryžos iki Žaliosios gatvės Utenoje rekonstrukcija. </v>
      </c>
      <c r="E50" s="29" t="s">
        <v>65</v>
      </c>
      <c r="F50" s="118" t="s">
        <v>934</v>
      </c>
      <c r="G50" s="119" t="str">
        <f>'2 lentelė'!$E51</f>
        <v>P.B.214</v>
      </c>
      <c r="H50" s="26" t="str">
        <f>'2 lentelė'!$F51</f>
        <v>Bendras rekonstruotų arba atnaujintų kelių ilgis, km</v>
      </c>
      <c r="I50" s="26">
        <f>'2 lentelė'!$G51</f>
        <v>0.76</v>
      </c>
      <c r="J50" s="26">
        <v>0.76</v>
      </c>
      <c r="K50" s="120">
        <v>0</v>
      </c>
      <c r="L50" s="119" t="str">
        <f>'2 lentelė'!$H51</f>
        <v>P.S.342</v>
      </c>
      <c r="M50" s="26" t="str">
        <f>'2 lentelė'!$I51</f>
        <v>Įdiegtos saugų eismų gerinančios ir aplinkosaugos priemonės, vnt.</v>
      </c>
      <c r="N50" s="26">
        <f>'2 lentelė'!$J51</f>
        <v>1</v>
      </c>
      <c r="O50" s="26">
        <v>1</v>
      </c>
      <c r="P50" s="120">
        <v>0</v>
      </c>
      <c r="Q50" s="121"/>
      <c r="R50" s="23"/>
      <c r="S50" s="23"/>
      <c r="T50" s="23"/>
      <c r="U50" s="122"/>
      <c r="V50" s="123"/>
      <c r="W50" s="31"/>
      <c r="X50" s="23"/>
      <c r="Y50" s="23"/>
      <c r="Z50" s="122"/>
      <c r="AA50" s="124"/>
      <c r="AB50" s="48"/>
      <c r="AC50" s="48"/>
      <c r="AD50" s="64"/>
      <c r="AE50" s="135"/>
      <c r="AF50" s="124"/>
      <c r="AG50" s="48"/>
      <c r="AH50" s="48"/>
      <c r="AI50" s="64"/>
      <c r="AJ50" s="126"/>
      <c r="AK50" s="6"/>
    </row>
    <row r="51" spans="2:37" ht="68.25" customHeight="1" x14ac:dyDescent="0.25">
      <c r="B51" s="29" t="str">
        <f>'1 lentelė'!$B52</f>
        <v>1.2.1.1.7</v>
      </c>
      <c r="C51" s="29" t="str">
        <f>'1 lentelė'!$C52</f>
        <v>R095511-120000-1207</v>
      </c>
      <c r="D51" s="29" t="str">
        <f>'1 lentelė'!$D52</f>
        <v>Vietinės reikšmės kelio Visagino-Parko-Sedulinos al. kvartale rekonstravimas</v>
      </c>
      <c r="E51" s="29" t="s">
        <v>65</v>
      </c>
      <c r="F51" s="132" t="s">
        <v>935</v>
      </c>
      <c r="G51" s="119" t="str">
        <f>'2 lentelė'!$E52</f>
        <v>P.B.214</v>
      </c>
      <c r="H51" s="26" t="str">
        <f>'2 lentelė'!$F52</f>
        <v xml:space="preserve">Bendras rekonstruotų arba atnaujintų kelių ilgis“, km </v>
      </c>
      <c r="I51" s="26">
        <f>'2 lentelė'!$G52</f>
        <v>1.36</v>
      </c>
      <c r="J51" s="26">
        <v>1.36</v>
      </c>
      <c r="K51" s="120">
        <v>0</v>
      </c>
      <c r="L51" s="119" t="str">
        <f>'2 lentelė'!$H52</f>
        <v>P.S.342</v>
      </c>
      <c r="M51" s="26" t="str">
        <f>'2 lentelė'!$I52</f>
        <v>Įdiegtos saugų eismų gerinančios ir aplinkosaugos priemonės, vnt.</v>
      </c>
      <c r="N51" s="26">
        <f>'2 lentelė'!$J52</f>
        <v>1</v>
      </c>
      <c r="O51" s="23">
        <v>1</v>
      </c>
      <c r="P51" s="122">
        <v>0</v>
      </c>
      <c r="Q51" s="121"/>
      <c r="R51" s="23"/>
      <c r="S51" s="23"/>
      <c r="T51" s="23"/>
      <c r="U51" s="122"/>
      <c r="V51" s="123"/>
      <c r="W51" s="31"/>
      <c r="X51" s="23"/>
      <c r="Y51" s="23"/>
      <c r="Z51" s="122"/>
      <c r="AA51" s="124"/>
      <c r="AB51" s="48"/>
      <c r="AC51" s="48"/>
      <c r="AD51" s="64"/>
      <c r="AE51" s="135"/>
      <c r="AF51" s="124"/>
      <c r="AG51" s="48"/>
      <c r="AH51" s="48"/>
      <c r="AI51" s="64"/>
      <c r="AJ51" s="126"/>
      <c r="AK51" s="6"/>
    </row>
    <row r="52" spans="2:37" ht="106.5" customHeight="1" x14ac:dyDescent="0.25">
      <c r="B52" s="29" t="str">
        <f>'1 lentelė'!$B53</f>
        <v>1.2.1.1.8</v>
      </c>
      <c r="C52" s="29" t="str">
        <f>'1 lentelė'!$C53</f>
        <v>R095511-120000-1208</v>
      </c>
      <c r="D52" s="29" t="str">
        <f>'1 lentelė'!$D53</f>
        <v>Gyvenamosios aplinkos pasiekiamumo gerinimas Zarasų mieste rekonstruojant E. Pliaterytės gatvę</v>
      </c>
      <c r="E52" s="23" t="s">
        <v>65</v>
      </c>
      <c r="F52" s="132" t="s">
        <v>1456</v>
      </c>
      <c r="G52" s="119" t="str">
        <f>'2 lentelė'!$E53</f>
        <v>P.B.214</v>
      </c>
      <c r="H52" s="26" t="str">
        <f>'2 lentelė'!$F53</f>
        <v>Bendras rekonstruotų arba atnaujintų kelių ilgis, km</v>
      </c>
      <c r="I52" s="26">
        <f>'2 lentelė'!$G53</f>
        <v>0.14000000000000001</v>
      </c>
      <c r="J52" s="23">
        <v>0.14000000000000001</v>
      </c>
      <c r="K52" s="122">
        <v>0</v>
      </c>
      <c r="L52" s="119"/>
      <c r="M52" s="26"/>
      <c r="N52" s="26"/>
      <c r="O52" s="23"/>
      <c r="P52" s="122"/>
      <c r="Q52" s="121"/>
      <c r="R52" s="23"/>
      <c r="S52" s="23"/>
      <c r="T52" s="23"/>
      <c r="U52" s="122"/>
      <c r="V52" s="123"/>
      <c r="W52" s="31"/>
      <c r="X52" s="23"/>
      <c r="Y52" s="23"/>
      <c r="Z52" s="122"/>
      <c r="AA52" s="124"/>
      <c r="AB52" s="48"/>
      <c r="AC52" s="48"/>
      <c r="AD52" s="64"/>
      <c r="AE52" s="135"/>
      <c r="AF52" s="124"/>
      <c r="AG52" s="48"/>
      <c r="AH52" s="48"/>
      <c r="AI52" s="64"/>
      <c r="AJ52" s="126"/>
      <c r="AK52" s="6"/>
    </row>
    <row r="53" spans="2:37" ht="123" customHeight="1" x14ac:dyDescent="0.25">
      <c r="B53" s="29" t="str">
        <f>'1 lentelė'!$B54</f>
        <v>1.2.1.1.9</v>
      </c>
      <c r="C53" s="29" t="str">
        <f>'1 lentelė'!$C54</f>
        <v>R095511-120000-1220</v>
      </c>
      <c r="D53" s="29" t="str">
        <f>'1 lentelė'!$D54</f>
        <v>Eismo sąlygų pagerinimas ir gyvenamosios aplinkos pasiekiamumo užtikrinimas, rekonstruojant Žvejų gatvę Anykščių mieste</v>
      </c>
      <c r="E53" s="29" t="s">
        <v>65</v>
      </c>
      <c r="F53" s="132" t="s">
        <v>1457</v>
      </c>
      <c r="G53" s="119">
        <f>'2 lentelė'!$E54</f>
        <v>0</v>
      </c>
      <c r="H53" s="26">
        <f>'2 lentelė'!$F54</f>
        <v>0</v>
      </c>
      <c r="I53" s="26">
        <f>'2 lentelė'!$G54</f>
        <v>0</v>
      </c>
      <c r="J53" s="49">
        <v>0</v>
      </c>
      <c r="K53" s="142">
        <v>0</v>
      </c>
      <c r="L53" s="119" t="str">
        <f>'2 lentelė'!$H54</f>
        <v>P.S.342</v>
      </c>
      <c r="M53" s="26" t="str">
        <f>'2 lentelė'!$I54</f>
        <v>Įdiegtos saugų eismų gerinančios ir aplinkosaugos priemonės, vnt.</v>
      </c>
      <c r="N53" s="26">
        <f>'2 lentelė'!$J54</f>
        <v>1</v>
      </c>
      <c r="O53" s="23">
        <v>1</v>
      </c>
      <c r="P53" s="122">
        <v>0</v>
      </c>
      <c r="Q53" s="121"/>
      <c r="R53" s="23"/>
      <c r="S53" s="23"/>
      <c r="T53" s="23"/>
      <c r="U53" s="122"/>
      <c r="V53" s="123"/>
      <c r="W53" s="31"/>
      <c r="X53" s="23"/>
      <c r="Y53" s="23"/>
      <c r="Z53" s="122"/>
      <c r="AA53" s="124"/>
      <c r="AB53" s="48"/>
      <c r="AC53" s="48"/>
      <c r="AD53" s="64"/>
      <c r="AE53" s="135"/>
      <c r="AF53" s="124"/>
      <c r="AG53" s="48"/>
      <c r="AH53" s="48"/>
      <c r="AI53" s="64"/>
      <c r="AJ53" s="126"/>
      <c r="AK53" s="6"/>
    </row>
    <row r="54" spans="2:37" ht="63.75" customHeight="1" x14ac:dyDescent="0.25">
      <c r="B54" s="29" t="str">
        <f>'1 lentelė'!$B55</f>
        <v>1.2.1.1.10</v>
      </c>
      <c r="C54" s="29" t="str">
        <f>'1 lentelė'!$C55</f>
        <v>R095511-120000-1221</v>
      </c>
      <c r="D54" s="29" t="str">
        <f>'1 lentelė'!$D55</f>
        <v>Ignalinos miesto Ligoninės gatvės dalies rekonstrukcija</v>
      </c>
      <c r="E54" s="31" t="s">
        <v>65</v>
      </c>
      <c r="F54" s="143" t="s">
        <v>66</v>
      </c>
      <c r="G54" s="119" t="str">
        <f>'2 lentelė'!$E55</f>
        <v>P.B.214</v>
      </c>
      <c r="H54" s="26" t="str">
        <f>'2 lentelė'!$F55</f>
        <v>Bendras rekonstruotų arba atnaujintų kelių ilgis, km</v>
      </c>
      <c r="I54" s="26">
        <f>'2 lentelė'!$G55</f>
        <v>0.2</v>
      </c>
      <c r="J54" s="49">
        <v>0</v>
      </c>
      <c r="K54" s="142">
        <v>0</v>
      </c>
      <c r="L54" s="119"/>
      <c r="M54" s="26"/>
      <c r="N54" s="26"/>
      <c r="O54" s="23"/>
      <c r="P54" s="122"/>
      <c r="Q54" s="121"/>
      <c r="R54" s="23"/>
      <c r="S54" s="23"/>
      <c r="T54" s="23"/>
      <c r="U54" s="122"/>
      <c r="V54" s="123"/>
      <c r="W54" s="31"/>
      <c r="X54" s="23"/>
      <c r="Y54" s="23"/>
      <c r="Z54" s="122"/>
      <c r="AA54" s="124"/>
      <c r="AB54" s="48"/>
      <c r="AC54" s="48"/>
      <c r="AD54" s="64"/>
      <c r="AE54" s="135"/>
      <c r="AF54" s="124"/>
      <c r="AG54" s="48"/>
      <c r="AH54" s="48"/>
      <c r="AI54" s="64"/>
      <c r="AJ54" s="126"/>
      <c r="AK54" s="6"/>
    </row>
    <row r="55" spans="2:37" ht="67.5" customHeight="1" x14ac:dyDescent="0.25">
      <c r="B55" s="29" t="str">
        <f>'1 lentelė'!$B56</f>
        <v xml:space="preserve"> </v>
      </c>
      <c r="C55" s="29" t="str">
        <f>'1 lentelė'!$C56</f>
        <v>R095511-120000-1222</v>
      </c>
      <c r="D55" s="29" t="str">
        <f>'1 lentelė'!$D56</f>
        <v>Saugaus eismo priemonių diegimas Ignalinos rajono keliuose</v>
      </c>
      <c r="E55" s="23" t="s">
        <v>66</v>
      </c>
      <c r="F55" s="143" t="s">
        <v>66</v>
      </c>
      <c r="G55" s="119" t="str">
        <f>'2 lentelė'!$E56</f>
        <v>P.S.342</v>
      </c>
      <c r="H55" s="26" t="str">
        <f>'2 lentelė'!$F56</f>
        <v>Įdiegtos saugų eismų gerinančios ir aplinkosaugos priemonės, vnt.</v>
      </c>
      <c r="I55" s="26">
        <f>'2 lentelė'!$G56</f>
        <v>1</v>
      </c>
      <c r="J55" s="23">
        <v>0</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77.25" customHeight="1" x14ac:dyDescent="0.25">
      <c r="B56" s="29" t="str">
        <f>'1 lentelė'!$B57</f>
        <v>1.2.1.1.12</v>
      </c>
      <c r="C56" s="29" t="str">
        <f>'1 lentelė'!$C57</f>
        <v>R095511-120000-1223</v>
      </c>
      <c r="D56" s="29" t="str">
        <f>'1 lentelė'!$D57</f>
        <v>Saugaus eismo priemonių diegimas Molėtų rajono  Giedraičių miestelyje</v>
      </c>
      <c r="E56" s="31" t="s">
        <v>66</v>
      </c>
      <c r="F56" s="143" t="s">
        <v>1458</v>
      </c>
      <c r="G56" s="119" t="str">
        <f>'2 lentelė'!$E57</f>
        <v>P.S.342</v>
      </c>
      <c r="H56" s="26" t="str">
        <f>'2 lentelė'!$F57</f>
        <v>Įdiegtos saugų eismų gerinančios ir aplinkosaugos priemonės, vnt.</v>
      </c>
      <c r="I56" s="26">
        <f>'2 lentelė'!$G57</f>
        <v>1</v>
      </c>
      <c r="J56" s="23">
        <v>1</v>
      </c>
      <c r="K56" s="122">
        <v>0</v>
      </c>
      <c r="L56" s="119"/>
      <c r="M56" s="26"/>
      <c r="N56" s="26"/>
      <c r="O56" s="23"/>
      <c r="P56" s="122"/>
      <c r="Q56" s="121"/>
      <c r="R56" s="23"/>
      <c r="S56" s="23"/>
      <c r="T56" s="23"/>
      <c r="U56" s="122"/>
      <c r="V56" s="123"/>
      <c r="W56" s="31"/>
      <c r="X56" s="23"/>
      <c r="Y56" s="23"/>
      <c r="Z56" s="122"/>
      <c r="AA56" s="124"/>
      <c r="AB56" s="48"/>
      <c r="AC56" s="48"/>
      <c r="AD56" s="64"/>
      <c r="AE56" s="135"/>
      <c r="AF56" s="124"/>
      <c r="AG56" s="48"/>
      <c r="AH56" s="48"/>
      <c r="AI56" s="64"/>
      <c r="AJ56" s="126"/>
      <c r="AK56" s="6"/>
    </row>
    <row r="57" spans="2:37" ht="81.75" customHeight="1" x14ac:dyDescent="0.25">
      <c r="B57" s="29" t="str">
        <f>'1 lentelė'!$B58</f>
        <v>1.2.1.1.14</v>
      </c>
      <c r="C57" s="29" t="str">
        <f>'1 lentelė'!$C58</f>
        <v>R095511-120000-1225</v>
      </c>
      <c r="D57" s="29" t="str">
        <f>'1 lentelė'!$D58</f>
        <v>Saugaus eismo priemonių diegimas Žemaitės gatvėje Zarasų mieste</v>
      </c>
      <c r="E57" s="29" t="s">
        <v>66</v>
      </c>
      <c r="F57" s="132" t="s">
        <v>66</v>
      </c>
      <c r="G57" s="119" t="str">
        <f>'2 lentelė'!$E58</f>
        <v>P.S.342</v>
      </c>
      <c r="H57" s="26" t="str">
        <f>'2 lentelė'!$F58</f>
        <v>Įdiegtos saugų eismų gerinančios ir aplinkosaugos priemonės, vnt.</v>
      </c>
      <c r="I57" s="26">
        <f>'2 lentelė'!$G58</f>
        <v>1</v>
      </c>
      <c r="J57" s="23">
        <v>0</v>
      </c>
      <c r="K57" s="122">
        <v>0</v>
      </c>
      <c r="L57" s="245"/>
      <c r="M57" s="246"/>
      <c r="N57" s="246"/>
      <c r="O57" s="240"/>
      <c r="P57" s="247"/>
      <c r="Q57" s="121"/>
      <c r="R57" s="23"/>
      <c r="S57" s="23"/>
      <c r="T57" s="23"/>
      <c r="U57" s="122"/>
      <c r="V57" s="123"/>
      <c r="W57" s="31"/>
      <c r="X57" s="23"/>
      <c r="Y57" s="23"/>
      <c r="Z57" s="122"/>
      <c r="AA57" s="124"/>
      <c r="AB57" s="48"/>
      <c r="AC57" s="48"/>
      <c r="AD57" s="64"/>
      <c r="AE57" s="135"/>
      <c r="AF57" s="124"/>
      <c r="AG57" s="48"/>
      <c r="AH57" s="48"/>
      <c r="AI57" s="64"/>
      <c r="AJ57" s="126"/>
      <c r="AK57" s="6"/>
    </row>
    <row r="58" spans="2:37" ht="106.5" customHeight="1" x14ac:dyDescent="0.25">
      <c r="B58" s="43" t="str">
        <f>'1 lentelė'!$B59</f>
        <v xml:space="preserve">1.2.2 </v>
      </c>
      <c r="C58" s="43"/>
      <c r="D58" s="42" t="str">
        <f>'1 lentelė'!$D59</f>
        <v>Uždavinys: Plėtoti  aplinką tausojančią ir eismo saugą didinančią infrastruktūrą ir priemones bei darnų judumą</v>
      </c>
      <c r="E58" s="43"/>
      <c r="F58" s="144"/>
      <c r="G58" s="43"/>
      <c r="H58" s="43"/>
      <c r="I58" s="43"/>
      <c r="J58" s="43"/>
      <c r="K58" s="144"/>
      <c r="L58" s="43"/>
      <c r="M58" s="43"/>
      <c r="N58" s="43"/>
      <c r="O58" s="43"/>
      <c r="P58" s="144"/>
      <c r="Q58" s="243"/>
      <c r="R58" s="43"/>
      <c r="S58" s="43"/>
      <c r="T58" s="43"/>
      <c r="U58" s="144"/>
      <c r="V58" s="43"/>
      <c r="W58" s="43"/>
      <c r="X58" s="43"/>
      <c r="Y58" s="43"/>
      <c r="Z58" s="144"/>
      <c r="AA58" s="43"/>
      <c r="AB58" s="43"/>
      <c r="AC58" s="43"/>
      <c r="AD58" s="43"/>
      <c r="AE58" s="144"/>
      <c r="AF58" s="43"/>
      <c r="AG58" s="43"/>
      <c r="AH58" s="43"/>
      <c r="AI58" s="43"/>
      <c r="AJ58" s="144"/>
      <c r="AK58" s="6"/>
    </row>
    <row r="59" spans="2:37" ht="69.75" customHeight="1" x14ac:dyDescent="0.25">
      <c r="B59" s="44" t="str">
        <f>'1 lentelė'!$B60</f>
        <v>1.2.2.1</v>
      </c>
      <c r="C59" s="44"/>
      <c r="D59" s="76" t="str">
        <f>'1 lentelė'!$D60</f>
        <v>Priemonė: Pėsčiųjų ir dviračių takų rekonstrukcija ir plėtra</v>
      </c>
      <c r="E59" s="44"/>
      <c r="F59" s="138"/>
      <c r="G59" s="44"/>
      <c r="H59" s="44"/>
      <c r="I59" s="44"/>
      <c r="J59" s="44"/>
      <c r="K59" s="138"/>
      <c r="L59" s="44"/>
      <c r="M59" s="44"/>
      <c r="N59" s="44"/>
      <c r="O59" s="44"/>
      <c r="P59" s="138"/>
      <c r="Q59" s="244"/>
      <c r="R59" s="44"/>
      <c r="S59" s="44"/>
      <c r="T59" s="44"/>
      <c r="U59" s="138"/>
      <c r="V59" s="44"/>
      <c r="W59" s="44"/>
      <c r="X59" s="44"/>
      <c r="Y59" s="44"/>
      <c r="Z59" s="138"/>
      <c r="AA59" s="44"/>
      <c r="AB59" s="44"/>
      <c r="AC59" s="44"/>
      <c r="AD59" s="44"/>
      <c r="AE59" s="138"/>
      <c r="AF59" s="44"/>
      <c r="AG59" s="44"/>
      <c r="AH59" s="44"/>
      <c r="AI59" s="44"/>
      <c r="AJ59" s="138"/>
      <c r="AK59" s="6"/>
    </row>
    <row r="60" spans="2:37" ht="24.75" customHeight="1" x14ac:dyDescent="0.25">
      <c r="B60" s="29"/>
      <c r="C60" s="29"/>
      <c r="D60" s="29"/>
      <c r="E60" s="29"/>
      <c r="F60" s="132"/>
      <c r="G60" s="119"/>
      <c r="H60" s="26"/>
      <c r="I60" s="26"/>
      <c r="J60" s="23"/>
      <c r="K60" s="122"/>
      <c r="L60" s="248"/>
      <c r="M60" s="249"/>
      <c r="N60" s="249"/>
      <c r="O60" s="67"/>
      <c r="P60" s="163"/>
      <c r="Q60" s="121"/>
      <c r="R60" s="23"/>
      <c r="S60" s="23"/>
      <c r="T60" s="23"/>
      <c r="U60" s="122"/>
      <c r="V60" s="123"/>
      <c r="W60" s="31"/>
      <c r="X60" s="23"/>
      <c r="Y60" s="23"/>
      <c r="Z60" s="122"/>
      <c r="AA60" s="124"/>
      <c r="AB60" s="48"/>
      <c r="AC60" s="48"/>
      <c r="AD60" s="64"/>
      <c r="AE60" s="135"/>
      <c r="AF60" s="124"/>
      <c r="AG60" s="48"/>
      <c r="AH60" s="48"/>
      <c r="AI60" s="64"/>
      <c r="AJ60" s="126"/>
      <c r="AK60" s="6"/>
    </row>
    <row r="61" spans="2:37" ht="141.75" customHeight="1" x14ac:dyDescent="0.25">
      <c r="B61" s="29" t="str">
        <f>'1 lentelė'!$B62</f>
        <v>1.2.2.1.3</v>
      </c>
      <c r="C61" s="29" t="str">
        <f>'1 lentelė'!$C62</f>
        <v>R095516-190000-1210</v>
      </c>
      <c r="D61" s="29" t="str">
        <f>'1 lentelė'!$D62</f>
        <v>Dviračių ir pėsčiųjų takų tinklo palei Ąžuolų g. iki mokyklų komplekso plėtra didinant atskirų Molėtų miesto teritorijų tarpusavio integraciją</v>
      </c>
      <c r="E61" s="29" t="s">
        <v>65</v>
      </c>
      <c r="F61" s="132" t="s">
        <v>936</v>
      </c>
      <c r="G61" s="119" t="str">
        <f>'2 lentelė'!$E62</f>
        <v>P.S.321</v>
      </c>
      <c r="H61" s="26" t="str">
        <f>'2 lentelė'!$F62</f>
        <v>Įrengtų naujų dviračių ir / ar pėsčiųjų takų ir / ar trasų ilgis, km</v>
      </c>
      <c r="I61" s="26">
        <f>'2 lentelė'!$G62</f>
        <v>0.18</v>
      </c>
      <c r="J61" s="26">
        <v>0.18</v>
      </c>
      <c r="K61" s="120">
        <v>0</v>
      </c>
      <c r="L61" s="119" t="str">
        <f>'2 lentelė'!$H62</f>
        <v>P.S.322</v>
      </c>
      <c r="M61" s="26" t="str">
        <f>'2 lentelė'!$I62</f>
        <v>Rekonstruotų dviračių ir / ar pėsčiųjų takų ir / ar trasų ilgis, km</v>
      </c>
      <c r="N61" s="26">
        <f>'2 lentelė'!$J62</f>
        <v>0.81</v>
      </c>
      <c r="O61" s="49">
        <v>0.81</v>
      </c>
      <c r="P61" s="261">
        <v>0</v>
      </c>
      <c r="Q61" s="121"/>
      <c r="R61" s="23"/>
      <c r="S61" s="23"/>
      <c r="T61" s="23"/>
      <c r="U61" s="122"/>
      <c r="V61" s="123"/>
      <c r="W61" s="31"/>
      <c r="X61" s="23"/>
      <c r="Y61" s="23"/>
      <c r="Z61" s="122"/>
      <c r="AA61" s="124"/>
      <c r="AB61" s="48"/>
      <c r="AC61" s="48"/>
      <c r="AD61" s="64"/>
      <c r="AE61" s="135"/>
      <c r="AF61" s="124"/>
      <c r="AG61" s="48"/>
      <c r="AH61" s="48"/>
      <c r="AI61" s="64"/>
      <c r="AJ61" s="126"/>
      <c r="AK61" s="6"/>
    </row>
    <row r="62" spans="2:37" ht="106.5" customHeight="1" x14ac:dyDescent="0.25">
      <c r="B62" s="29" t="str">
        <f>'1 lentelė'!$B63</f>
        <v>1.2.2.1.4</v>
      </c>
      <c r="C62" s="29" t="str">
        <f>'1 lentelė'!$C63</f>
        <v>R095516-190000-1211</v>
      </c>
      <c r="D62" s="29" t="str">
        <f>'1 lentelė'!$D63</f>
        <v>Dviračių ir pėsčiųjų takų infrastruktūros Utenos mieste plėtra, siekiant pagerinti Pramonės rajono pasiekiamumą.</v>
      </c>
      <c r="E62" s="29" t="s">
        <v>65</v>
      </c>
      <c r="F62" s="132" t="s">
        <v>937</v>
      </c>
      <c r="G62" s="119" t="str">
        <f>'2 lentelė'!$E63</f>
        <v>P.S.322</v>
      </c>
      <c r="H62" s="26" t="str">
        <f>'2 lentelė'!$F63</f>
        <v> Rekonstruotų dviračių ir/ar pėsčiųjų takų ir/ar trasų ilgis, km</v>
      </c>
      <c r="I62" s="26">
        <f>'2 lentelė'!$G63</f>
        <v>0.85</v>
      </c>
      <c r="J62" s="49">
        <v>0.85</v>
      </c>
      <c r="K62" s="142">
        <v>0.85</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90.75" customHeight="1" x14ac:dyDescent="0.25">
      <c r="B63" s="29" t="str">
        <f>'1 lentelė'!$B64</f>
        <v xml:space="preserve">1.2.2.1.5 </v>
      </c>
      <c r="C63" s="29" t="str">
        <f>'1 lentelė'!$C64</f>
        <v>R095516-190000-1212</v>
      </c>
      <c r="D63" s="29" t="str">
        <f>'1 lentelė'!$D64</f>
        <v xml:space="preserve">Pėsčiųjų ir dviračių takų plėtra Griežto ežero pakrantėje nuo Vytauto gatvės iki Griežto gatvės </v>
      </c>
      <c r="E63" s="29" t="s">
        <v>30</v>
      </c>
      <c r="F63" s="132" t="s">
        <v>938</v>
      </c>
      <c r="G63" s="119" t="str">
        <f>'2 lentelė'!$E64</f>
        <v>P.S.321</v>
      </c>
      <c r="H63" s="26" t="str">
        <f>'2 lentelė'!$F64</f>
        <v>Įrengtų naujų dviračių / ir / ar pėsčiųjų takų ir / ar trasų ilgis, km</v>
      </c>
      <c r="I63" s="26">
        <f>'2 lentelė'!$G64</f>
        <v>0.55000000000000004</v>
      </c>
      <c r="J63" s="26">
        <v>0.55000000000000004</v>
      </c>
      <c r="K63" s="120">
        <v>0</v>
      </c>
      <c r="L63" s="119"/>
      <c r="M63" s="26"/>
      <c r="N63" s="26"/>
      <c r="O63" s="23"/>
      <c r="P63" s="122"/>
      <c r="Q63" s="121"/>
      <c r="R63" s="23"/>
      <c r="S63" s="23"/>
      <c r="T63" s="23"/>
      <c r="U63" s="122"/>
      <c r="V63" s="123"/>
      <c r="W63" s="31"/>
      <c r="X63" s="23"/>
      <c r="Y63" s="23"/>
      <c r="Z63" s="122"/>
      <c r="AA63" s="124"/>
      <c r="AB63" s="48"/>
      <c r="AC63" s="48"/>
      <c r="AD63" s="64"/>
      <c r="AE63" s="135"/>
      <c r="AF63" s="124"/>
      <c r="AG63" s="48"/>
      <c r="AH63" s="48"/>
      <c r="AI63" s="64"/>
      <c r="AJ63" s="126"/>
      <c r="AK63" s="6"/>
    </row>
    <row r="64" spans="2:37" ht="62.25" customHeight="1" x14ac:dyDescent="0.25">
      <c r="B64" s="29" t="str">
        <f>'1 lentelė'!$B65</f>
        <v>1.2.2.1.6</v>
      </c>
      <c r="C64" s="29" t="str">
        <f>'1 lentelė'!$C65</f>
        <v>R095516-190000-1213</v>
      </c>
      <c r="D64" s="29" t="str">
        <f>'1 lentelė'!$D65</f>
        <v xml:space="preserve">Pėsčiųjų takų tinklo plėtra Dusetose, Zarasų rajone </v>
      </c>
      <c r="E64" s="29" t="s">
        <v>66</v>
      </c>
      <c r="F64" s="132" t="s">
        <v>66</v>
      </c>
      <c r="G64" s="119" t="str">
        <f>'2 lentelė'!$E65</f>
        <v>P.S.322</v>
      </c>
      <c r="H64" s="26" t="str">
        <f>'2 lentelė'!$F65</f>
        <v>Rekonstruotų dviračių ir/ar pėsčiųjų takų ir/ar trasų ilgis, km</v>
      </c>
      <c r="I64" s="26">
        <f>'2 lentelė'!$G65</f>
        <v>0.2</v>
      </c>
      <c r="J64" s="26">
        <v>0</v>
      </c>
      <c r="K64" s="120">
        <v>0</v>
      </c>
      <c r="L64" s="119"/>
      <c r="M64" s="26"/>
      <c r="N64" s="26"/>
      <c r="O64" s="23"/>
      <c r="P64" s="122"/>
      <c r="Q64" s="267"/>
      <c r="R64" s="23"/>
      <c r="S64" s="23"/>
      <c r="T64" s="23"/>
      <c r="U64" s="122"/>
      <c r="V64" s="279"/>
      <c r="W64" s="31"/>
      <c r="X64" s="23"/>
      <c r="Y64" s="23"/>
      <c r="Z64" s="122"/>
      <c r="AA64" s="268"/>
      <c r="AB64" s="48"/>
      <c r="AC64" s="48"/>
      <c r="AD64" s="64"/>
      <c r="AE64" s="135"/>
      <c r="AF64" s="268"/>
      <c r="AG64" s="48"/>
      <c r="AH64" s="48"/>
      <c r="AI64" s="64"/>
      <c r="AJ64" s="126"/>
      <c r="AK64" s="6"/>
    </row>
    <row r="65" spans="2:37" ht="104.25" customHeight="1" x14ac:dyDescent="0.25">
      <c r="B65" s="29" t="str">
        <f>'1 lentelė'!$B66</f>
        <v>1.2.2.1.7</v>
      </c>
      <c r="C65" s="29" t="str">
        <f>'1 lentelė'!$C66</f>
        <v>R095516-190000-1214</v>
      </c>
      <c r="D65" s="29" t="str">
        <f>'1 lentelė'!$D66</f>
        <v>Susisiekimo sąlygų gerinimas Molėtų mieste įrengiant pėsčiųjų takus tarp Ąžuolų ir Melioratorių gatvių</v>
      </c>
      <c r="E65" s="29" t="s">
        <v>66</v>
      </c>
      <c r="F65" s="132" t="s">
        <v>66</v>
      </c>
      <c r="G65" s="119" t="str">
        <f>'2 lentelė'!$E66</f>
        <v>P.S.321</v>
      </c>
      <c r="H65" s="26" t="str">
        <f>'2 lentelė'!$F66</f>
        <v>Įrengtų naujų dviračių / ir / ar pėsčiųjų takų ir / ar trasų ilgis, km</v>
      </c>
      <c r="I65" s="26">
        <f>'2 lentelė'!$G66</f>
        <v>0.54</v>
      </c>
      <c r="J65" s="26">
        <v>0</v>
      </c>
      <c r="K65" s="120">
        <v>0</v>
      </c>
      <c r="L65" s="119"/>
      <c r="M65" s="26"/>
      <c r="N65" s="26"/>
      <c r="O65" s="23"/>
      <c r="P65" s="122"/>
      <c r="Q65" s="267"/>
      <c r="R65" s="23"/>
      <c r="S65" s="23"/>
      <c r="T65" s="23"/>
      <c r="U65" s="122"/>
      <c r="V65" s="279"/>
      <c r="W65" s="31"/>
      <c r="X65" s="23"/>
      <c r="Y65" s="23"/>
      <c r="Z65" s="122"/>
      <c r="AA65" s="268"/>
      <c r="AB65" s="48"/>
      <c r="AC65" s="48"/>
      <c r="AD65" s="64"/>
      <c r="AE65" s="135"/>
      <c r="AF65" s="268"/>
      <c r="AG65" s="48"/>
      <c r="AH65" s="48"/>
      <c r="AI65" s="64"/>
      <c r="AJ65" s="126"/>
      <c r="AK65" s="6"/>
    </row>
    <row r="66" spans="2:37" ht="127.5" customHeight="1" x14ac:dyDescent="0.25">
      <c r="B66" s="29" t="str">
        <f>'1 lentelė'!$B67</f>
        <v>1.2.2.1.8</v>
      </c>
      <c r="C66" s="29" t="str">
        <f>'1 lentelė'!$C67</f>
        <v>R095516-190000-1218</v>
      </c>
      <c r="D66" s="29" t="str">
        <f>'1 lentelė'!$D67</f>
        <v>Dviračių ir pėsčiųjų tako įrengimas Ignalinos mieste sodininkų bendriją sujungiant su esamu dviračių ir pėsčiųjų taku</v>
      </c>
      <c r="E66" s="29" t="s">
        <v>66</v>
      </c>
      <c r="F66" s="31" t="s">
        <v>66</v>
      </c>
      <c r="G66" s="119" t="str">
        <f>'2 lentelė'!E67</f>
        <v>P.S.321</v>
      </c>
      <c r="H66" s="119" t="str">
        <f>'2 lentelė'!F67</f>
        <v>Įrengtų naujų dviračių / ir / ar pėsčiųjų takų ir / ar trasų ilgis, km</v>
      </c>
      <c r="I66" s="119">
        <f>'2 lentelė'!G67</f>
        <v>0.65</v>
      </c>
      <c r="J66" s="26">
        <v>0</v>
      </c>
      <c r="K66" s="120">
        <v>0</v>
      </c>
      <c r="L66" s="161"/>
      <c r="M66" s="26"/>
      <c r="N66" s="26"/>
      <c r="O66" s="23"/>
      <c r="P66" s="122"/>
      <c r="Q66" s="267"/>
      <c r="R66" s="23"/>
      <c r="S66" s="23"/>
      <c r="T66" s="23"/>
      <c r="U66" s="122"/>
      <c r="V66" s="279"/>
      <c r="W66" s="31"/>
      <c r="X66" s="23"/>
      <c r="Y66" s="23"/>
      <c r="Z66" s="122"/>
      <c r="AA66" s="268"/>
      <c r="AB66" s="48"/>
      <c r="AC66" s="48"/>
      <c r="AD66" s="64"/>
      <c r="AE66" s="135"/>
      <c r="AF66" s="268"/>
      <c r="AG66" s="48"/>
      <c r="AH66" s="48"/>
      <c r="AI66" s="64"/>
      <c r="AJ66" s="126"/>
      <c r="AK66" s="6"/>
    </row>
    <row r="67" spans="2:37" ht="67.5" x14ac:dyDescent="0.25">
      <c r="B67" s="44" t="str">
        <f>'1 lentelė'!$B68</f>
        <v>1.2.2.2</v>
      </c>
      <c r="C67" s="44"/>
      <c r="D67" s="76" t="str">
        <f>'1 lentelė'!$D68</f>
        <v>Priemonė: Darnaus judumo priemonių diegimas</v>
      </c>
      <c r="E67" s="44"/>
      <c r="F67" s="138"/>
      <c r="G67" s="44"/>
      <c r="H67" s="44"/>
      <c r="I67" s="44"/>
      <c r="J67" s="44"/>
      <c r="K67" s="138"/>
      <c r="L67" s="44"/>
      <c r="M67" s="44"/>
      <c r="N67" s="44"/>
      <c r="O67" s="44"/>
      <c r="P67" s="138"/>
      <c r="Q67" s="44"/>
      <c r="R67" s="44"/>
      <c r="S67" s="44"/>
      <c r="T67" s="44"/>
      <c r="U67" s="138"/>
      <c r="V67" s="44"/>
      <c r="W67" s="44"/>
      <c r="X67" s="44"/>
      <c r="Y67" s="44"/>
      <c r="Z67" s="138"/>
      <c r="AA67" s="44"/>
      <c r="AB67" s="44"/>
      <c r="AC67" s="44"/>
      <c r="AD67" s="44"/>
      <c r="AE67" s="138"/>
      <c r="AF67" s="44"/>
      <c r="AG67" s="44"/>
      <c r="AH67" s="44"/>
      <c r="AI67" s="44"/>
      <c r="AJ67" s="138"/>
      <c r="AK67" s="6"/>
    </row>
    <row r="68" spans="2:37" hidden="1" x14ac:dyDescent="0.25">
      <c r="B68" s="29"/>
      <c r="C68" s="29"/>
      <c r="D68" s="29"/>
      <c r="E68" s="29"/>
      <c r="F68" s="145"/>
      <c r="G68" s="119"/>
      <c r="H68" s="26"/>
      <c r="I68" s="26"/>
      <c r="J68" s="50"/>
      <c r="K68" s="146"/>
      <c r="L68" s="119"/>
      <c r="M68" s="26"/>
      <c r="N68" s="26"/>
      <c r="O68" s="23"/>
      <c r="P68" s="122"/>
      <c r="Q68" s="121"/>
      <c r="R68" s="23"/>
      <c r="S68" s="23"/>
      <c r="T68" s="50"/>
      <c r="U68" s="146"/>
      <c r="V68" s="123"/>
      <c r="W68" s="31"/>
      <c r="X68" s="23"/>
      <c r="Y68" s="23"/>
      <c r="Z68" s="122"/>
      <c r="AA68" s="124"/>
      <c r="AB68" s="48"/>
      <c r="AC68" s="48"/>
      <c r="AD68" s="64"/>
      <c r="AE68" s="135"/>
      <c r="AF68" s="124"/>
      <c r="AG68" s="48"/>
      <c r="AH68" s="48"/>
      <c r="AI68" s="64"/>
      <c r="AJ68" s="126"/>
      <c r="AK68" s="6"/>
    </row>
    <row r="69" spans="2:37" ht="54.75" customHeight="1" x14ac:dyDescent="0.25">
      <c r="B69" s="29" t="str">
        <f>'1 lentelė'!$B70</f>
        <v>1.2.2.2.2</v>
      </c>
      <c r="C69" s="29" t="str">
        <f>'1 lentelė'!$C70</f>
        <v>R095513-500000-1214</v>
      </c>
      <c r="D69" s="29" t="str">
        <f>'1 lentelė'!$D70</f>
        <v xml:space="preserve">Visagino miesto darnaus judumo plano parengimas </v>
      </c>
      <c r="E69" s="29" t="s">
        <v>65</v>
      </c>
      <c r="F69" s="147" t="s">
        <v>939</v>
      </c>
      <c r="G69" s="119" t="str">
        <f>'2 lentelė'!$E70</f>
        <v>P.N.507</v>
      </c>
      <c r="H69" s="26" t="str">
        <f>'2 lentelė'!$F70</f>
        <v>Parengti darnaus judumo mieste planai, vnt</v>
      </c>
      <c r="I69" s="26">
        <f>'2 lentelė'!$G70</f>
        <v>1</v>
      </c>
      <c r="J69" s="51">
        <v>1</v>
      </c>
      <c r="K69" s="51">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26"/>
      <c r="AK69" s="6"/>
    </row>
    <row r="70" spans="2:37" ht="57" customHeight="1" x14ac:dyDescent="0.25">
      <c r="B70" s="29" t="str">
        <f>'1 lentelė'!$B71</f>
        <v>1.2.2.2.3</v>
      </c>
      <c r="C70" s="29" t="str">
        <f>'1 lentelė'!$C71</f>
        <v>R095514-190000-1215</v>
      </c>
      <c r="D70" s="29" t="str">
        <f>'1 lentelė'!$D71</f>
        <v>Darnaus judumo infrastruktūros įrengimas Visagino mieste</v>
      </c>
      <c r="E70" s="29" t="s">
        <v>65</v>
      </c>
      <c r="F70" s="118" t="s">
        <v>1501</v>
      </c>
      <c r="G70" s="119" t="str">
        <f>'2 lentelė'!$E71</f>
        <v>P.S.323</v>
      </c>
      <c r="H70" s="26" t="str">
        <f>'2 lentelė'!$F71</f>
        <v>Įgyvendintos darnaus judumo priemonės, vnt</v>
      </c>
      <c r="I70" s="26">
        <f>'2 lentelė'!$G71</f>
        <v>9</v>
      </c>
      <c r="J70" s="26">
        <v>9</v>
      </c>
      <c r="K70" s="120">
        <v>0</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49"/>
      <c r="AK70" s="6"/>
    </row>
    <row r="71" spans="2:37" ht="52.5" customHeight="1" x14ac:dyDescent="0.25">
      <c r="B71" s="29" t="str">
        <f>'1 lentelė'!$B72</f>
        <v>1.2.2.2.4</v>
      </c>
      <c r="C71" s="29" t="str">
        <f>'1 lentelė'!$C72</f>
        <v>R095513-500000-1216</v>
      </c>
      <c r="D71" s="29" t="str">
        <f>'1 lentelė'!$D72</f>
        <v>Darnaus judumo Utenos mieste plano rengimas</v>
      </c>
      <c r="E71" s="29" t="s">
        <v>66</v>
      </c>
      <c r="F71" s="118" t="s">
        <v>940</v>
      </c>
      <c r="G71" s="119" t="str">
        <f>'2 lentelė'!$E72</f>
        <v>P.N.507</v>
      </c>
      <c r="H71" s="26" t="str">
        <f>'2 lentelė'!$F72</f>
        <v>Parengti darnaus judumo mieste planai, vnt</v>
      </c>
      <c r="I71" s="26">
        <f>'2 lentelė'!$G72</f>
        <v>1</v>
      </c>
      <c r="J71" s="26">
        <v>1</v>
      </c>
      <c r="K71" s="120">
        <v>1</v>
      </c>
      <c r="L71" s="119"/>
      <c r="M71" s="26"/>
      <c r="N71" s="26"/>
      <c r="O71" s="26"/>
      <c r="P71" s="120"/>
      <c r="Q71" s="121"/>
      <c r="R71" s="23"/>
      <c r="S71" s="23"/>
      <c r="T71" s="52"/>
      <c r="U71" s="148"/>
      <c r="V71" s="123"/>
      <c r="W71" s="31"/>
      <c r="X71" s="23"/>
      <c r="Y71" s="26"/>
      <c r="Z71" s="120"/>
      <c r="AA71" s="124"/>
      <c r="AB71" s="48"/>
      <c r="AC71" s="48"/>
      <c r="AD71" s="64"/>
      <c r="AE71" s="135"/>
      <c r="AF71" s="124"/>
      <c r="AG71" s="48"/>
      <c r="AH71" s="48"/>
      <c r="AI71" s="64"/>
      <c r="AJ71" s="126"/>
      <c r="AK71" s="6"/>
    </row>
    <row r="72" spans="2:37" ht="63.75" x14ac:dyDescent="0.25">
      <c r="B72" s="29" t="str">
        <f>'1 lentelė'!$B73</f>
        <v>1.2.2.2.5</v>
      </c>
      <c r="C72" s="29" t="str">
        <f>'1 lentelė'!$C73</f>
        <v>R095514-190000-1217</v>
      </c>
      <c r="D72" s="29" t="str">
        <f>'1 lentelė'!$D73</f>
        <v>Utenos miesto darnaus judumo plano priemonių diegimas</v>
      </c>
      <c r="E72" s="29" t="s">
        <v>66</v>
      </c>
      <c r="F72" s="118" t="s">
        <v>66</v>
      </c>
      <c r="G72" s="119" t="str">
        <f>'2 lentelė'!$E73</f>
        <v>P.S.323</v>
      </c>
      <c r="H72" s="26" t="str">
        <f>'2 lentelė'!$F73</f>
        <v>Įgyvendintos darnaus judumo priemonės, vnt</v>
      </c>
      <c r="I72" s="26">
        <f>'2 lentelė'!$G73</f>
        <v>1</v>
      </c>
      <c r="J72" s="26">
        <v>0</v>
      </c>
      <c r="K72" s="120">
        <v>0</v>
      </c>
      <c r="L72" s="119"/>
      <c r="M72" s="26"/>
      <c r="N72" s="26"/>
      <c r="O72" s="26"/>
      <c r="P72" s="120"/>
      <c r="Q72" s="121"/>
      <c r="R72" s="23"/>
      <c r="S72" s="23"/>
      <c r="T72" s="52"/>
      <c r="U72" s="148"/>
      <c r="V72" s="123"/>
      <c r="W72" s="31"/>
      <c r="X72" s="23"/>
      <c r="Y72" s="26"/>
      <c r="Z72" s="120"/>
      <c r="AA72" s="124"/>
      <c r="AB72" s="48"/>
      <c r="AC72" s="48"/>
      <c r="AD72" s="66"/>
      <c r="AE72" s="150"/>
      <c r="AF72" s="124"/>
      <c r="AG72" s="48"/>
      <c r="AH72" s="48"/>
      <c r="AI72" s="66"/>
      <c r="AJ72" s="129"/>
      <c r="AK72" s="27"/>
    </row>
    <row r="73" spans="2:37" ht="111" customHeight="1" x14ac:dyDescent="0.25">
      <c r="B73" s="53" t="str">
        <f>'1 lentelė'!$B74</f>
        <v>1.2.2.3</v>
      </c>
      <c r="C73" s="53"/>
      <c r="D73" s="77" t="str">
        <f>'1 lentelė'!$D74</f>
        <v>Priemonė: Vietinio susisiekimo viešojo transporto priemonių parko atnaujinimas</v>
      </c>
      <c r="E73" s="44"/>
      <c r="F73" s="138"/>
      <c r="G73" s="53"/>
      <c r="H73" s="53"/>
      <c r="I73" s="53"/>
      <c r="J73" s="44"/>
      <c r="K73" s="138"/>
      <c r="L73" s="53"/>
      <c r="M73" s="53"/>
      <c r="N73" s="53"/>
      <c r="O73" s="44"/>
      <c r="P73" s="138"/>
      <c r="Q73" s="53"/>
      <c r="R73" s="53"/>
      <c r="S73" s="53"/>
      <c r="T73" s="53"/>
      <c r="U73" s="151"/>
      <c r="V73" s="53"/>
      <c r="W73" s="53"/>
      <c r="X73" s="53"/>
      <c r="Y73" s="44"/>
      <c r="Z73" s="138"/>
      <c r="AA73" s="53"/>
      <c r="AB73" s="53"/>
      <c r="AC73" s="53"/>
      <c r="AD73" s="53"/>
      <c r="AE73" s="151"/>
      <c r="AF73" s="53"/>
      <c r="AG73" s="53"/>
      <c r="AH73" s="53"/>
      <c r="AI73" s="44"/>
      <c r="AJ73" s="138"/>
      <c r="AK73" s="6"/>
    </row>
    <row r="74" spans="2:37" hidden="1" x14ac:dyDescent="0.25">
      <c r="B74" s="29"/>
      <c r="C74" s="29"/>
      <c r="D74" s="29"/>
      <c r="E74" s="29"/>
      <c r="F74" s="152"/>
      <c r="G74" s="119"/>
      <c r="H74" s="26"/>
      <c r="I74" s="26"/>
      <c r="J74" s="54"/>
      <c r="K74" s="153"/>
      <c r="L74" s="119"/>
      <c r="M74" s="26"/>
      <c r="N74" s="26"/>
      <c r="O74" s="23"/>
      <c r="P74" s="122"/>
      <c r="Q74" s="121"/>
      <c r="R74" s="23"/>
      <c r="S74" s="23"/>
      <c r="T74" s="50"/>
      <c r="U74" s="146"/>
      <c r="V74" s="123"/>
      <c r="W74" s="31"/>
      <c r="X74" s="23"/>
      <c r="Y74" s="23"/>
      <c r="Z74" s="122"/>
      <c r="AA74" s="124"/>
      <c r="AB74" s="48"/>
      <c r="AC74" s="48"/>
      <c r="AD74" s="64"/>
      <c r="AE74" s="135"/>
      <c r="AF74" s="124"/>
      <c r="AG74" s="48"/>
      <c r="AH74" s="48"/>
      <c r="AI74" s="64"/>
      <c r="AJ74" s="126"/>
      <c r="AK74" s="6"/>
    </row>
    <row r="75" spans="2:37" ht="93" customHeight="1" x14ac:dyDescent="0.25">
      <c r="B75" s="29" t="str">
        <f>'1 lentelė'!B75</f>
        <v>1.2.2.3.3</v>
      </c>
      <c r="C75" s="29" t="str">
        <f>'1 lentelė'!C75</f>
        <v>R095518-100000-1219</v>
      </c>
      <c r="D75" s="29" t="str">
        <f>'1 lentelė'!D75</f>
        <v>Utenos rajono vietinio susisiekimo viešojo transporto priemonių parko atnaujinimas</v>
      </c>
      <c r="E75" s="29" t="s">
        <v>66</v>
      </c>
      <c r="F75" s="154" t="s">
        <v>66</v>
      </c>
      <c r="G75" s="119" t="str">
        <f>'2 lentelė'!$E75</f>
        <v>P.S.325</v>
      </c>
      <c r="H75" s="26" t="str">
        <f>'2 lentelė'!$F75</f>
        <v>Įsigytos naujos ekologiškos viešojo transporto priemonės (skaičius)</v>
      </c>
      <c r="I75" s="26">
        <f>'2 lentelė'!$G75</f>
        <v>4</v>
      </c>
      <c r="J75" s="52">
        <v>0</v>
      </c>
      <c r="K75" s="148">
        <v>0</v>
      </c>
      <c r="L75" s="119"/>
      <c r="M75" s="26"/>
      <c r="N75" s="26"/>
      <c r="O75" s="26"/>
      <c r="P75" s="120"/>
      <c r="Q75" s="121"/>
      <c r="R75" s="23"/>
      <c r="S75" s="23"/>
      <c r="T75" s="52"/>
      <c r="U75" s="148"/>
      <c r="V75" s="123"/>
      <c r="W75" s="31"/>
      <c r="X75" s="23"/>
      <c r="Y75" s="26"/>
      <c r="Z75" s="120"/>
      <c r="AA75" s="124"/>
      <c r="AB75" s="48"/>
      <c r="AC75" s="48"/>
      <c r="AD75" s="66"/>
      <c r="AE75" s="150"/>
      <c r="AF75" s="124"/>
      <c r="AG75" s="48"/>
      <c r="AH75" s="48"/>
      <c r="AI75" s="66"/>
      <c r="AJ75" s="129"/>
      <c r="AK75" s="27"/>
    </row>
    <row r="76" spans="2:37" ht="41.25" customHeight="1" x14ac:dyDescent="0.25">
      <c r="B76" s="56" t="str">
        <f>'1 lentelė'!$B76</f>
        <v>2.</v>
      </c>
      <c r="C76" s="56"/>
      <c r="D76" s="78" t="str">
        <f>'1 lentelė'!$D76</f>
        <v>Prioritetas: Integrali ekonomika</v>
      </c>
      <c r="E76" s="56"/>
      <c r="F76" s="155"/>
      <c r="G76" s="56"/>
      <c r="H76" s="56"/>
      <c r="I76" s="56"/>
      <c r="J76" s="56"/>
      <c r="K76" s="155"/>
      <c r="L76" s="56"/>
      <c r="M76" s="56"/>
      <c r="N76" s="56"/>
      <c r="O76" s="56"/>
      <c r="P76" s="155"/>
      <c r="Q76" s="56"/>
      <c r="R76" s="56"/>
      <c r="S76" s="56"/>
      <c r="T76" s="56"/>
      <c r="U76" s="155"/>
      <c r="V76" s="56"/>
      <c r="W76" s="56"/>
      <c r="X76" s="56"/>
      <c r="Y76" s="56"/>
      <c r="Z76" s="155"/>
      <c r="AA76" s="250"/>
      <c r="AB76" s="56"/>
      <c r="AC76" s="56"/>
      <c r="AD76" s="56"/>
      <c r="AE76" s="155"/>
      <c r="AF76" s="253"/>
      <c r="AG76" s="56"/>
      <c r="AH76" s="56"/>
      <c r="AI76" s="56"/>
      <c r="AJ76" s="155"/>
    </row>
    <row r="77" spans="2:37" ht="81" customHeight="1" x14ac:dyDescent="0.25">
      <c r="B77" s="58" t="str">
        <f>'1 lentelė'!$B77</f>
        <v xml:space="preserve">2.1 </v>
      </c>
      <c r="C77" s="58"/>
      <c r="D77" s="58" t="str">
        <f>'1 lentelė'!$D77</f>
        <v>Tikslas: Turizmo infrastruktūros, kultūros ir gamtos paveldo plėtra</v>
      </c>
      <c r="E77" s="58"/>
      <c r="F77" s="157"/>
      <c r="G77" s="58"/>
      <c r="H77" s="58"/>
      <c r="I77" s="58"/>
      <c r="J77" s="58"/>
      <c r="K77" s="157"/>
      <c r="L77" s="58"/>
      <c r="M77" s="58"/>
      <c r="N77" s="58"/>
      <c r="O77" s="58"/>
      <c r="P77" s="157"/>
      <c r="Q77" s="58"/>
      <c r="R77" s="58"/>
      <c r="S77" s="58"/>
      <c r="T77" s="58"/>
      <c r="U77" s="157"/>
      <c r="V77" s="58"/>
      <c r="W77" s="58"/>
      <c r="X77" s="58"/>
      <c r="Y77" s="58"/>
      <c r="Z77" s="157"/>
      <c r="AA77" s="251"/>
      <c r="AB77" s="58"/>
      <c r="AC77" s="58"/>
      <c r="AD77" s="58"/>
      <c r="AE77" s="157"/>
      <c r="AF77" s="254"/>
      <c r="AG77" s="58"/>
      <c r="AH77" s="58"/>
      <c r="AI77" s="58"/>
      <c r="AJ77" s="157"/>
    </row>
    <row r="78" spans="2:37" ht="68.25" customHeight="1" x14ac:dyDescent="0.25">
      <c r="B78" s="61" t="str">
        <f>'1 lentelė'!$B78</f>
        <v xml:space="preserve">2.1.1 </v>
      </c>
      <c r="C78" s="61"/>
      <c r="D78" s="61" t="str">
        <f>'1 lentelė'!$D78</f>
        <v>Uždavinys: Sutvarkyti ir aktualizuoti kultūros paveldo plėtrą</v>
      </c>
      <c r="E78" s="61"/>
      <c r="F78" s="158"/>
      <c r="G78" s="61"/>
      <c r="H78" s="61"/>
      <c r="I78" s="61"/>
      <c r="J78" s="61"/>
      <c r="K78" s="158"/>
      <c r="L78" s="61"/>
      <c r="M78" s="61"/>
      <c r="N78" s="61"/>
      <c r="O78" s="61"/>
      <c r="P78" s="158"/>
      <c r="Q78" s="61"/>
      <c r="R78" s="61"/>
      <c r="S78" s="61"/>
      <c r="T78" s="61"/>
      <c r="U78" s="158"/>
      <c r="V78" s="61"/>
      <c r="W78" s="61"/>
      <c r="X78" s="61"/>
      <c r="Y78" s="61"/>
      <c r="Z78" s="158"/>
      <c r="AA78" s="252"/>
      <c r="AB78" s="61"/>
      <c r="AC78" s="61"/>
      <c r="AD78" s="61"/>
      <c r="AE78" s="158"/>
      <c r="AF78" s="255"/>
      <c r="AG78" s="61"/>
      <c r="AH78" s="61"/>
      <c r="AI78" s="61"/>
      <c r="AJ78" s="158"/>
    </row>
    <row r="79" spans="2:37" ht="70.5" customHeight="1" x14ac:dyDescent="0.25">
      <c r="B79" s="53" t="str">
        <f>'1 lentelė'!$B79</f>
        <v>2.1.1.1</v>
      </c>
      <c r="C79" s="53"/>
      <c r="D79" s="77" t="str">
        <f>'1 lentelė'!$D79</f>
        <v>Priemonė: Aktualizuoti savivaldybių kultūros paveldo objektus</v>
      </c>
      <c r="E79" s="53"/>
      <c r="F79" s="151"/>
      <c r="G79" s="53"/>
      <c r="H79" s="53"/>
      <c r="I79" s="53"/>
      <c r="J79" s="53"/>
      <c r="K79" s="151"/>
      <c r="L79" s="53"/>
      <c r="M79" s="53"/>
      <c r="N79" s="53"/>
      <c r="O79" s="53"/>
      <c r="P79" s="151"/>
      <c r="Q79" s="53"/>
      <c r="R79" s="53"/>
      <c r="S79" s="53"/>
      <c r="T79" s="53"/>
      <c r="U79" s="151"/>
      <c r="V79" s="53"/>
      <c r="W79" s="53"/>
      <c r="X79" s="53"/>
      <c r="Y79" s="53"/>
      <c r="Z79" s="151"/>
      <c r="AA79" s="242"/>
      <c r="AB79" s="53"/>
      <c r="AC79" s="53"/>
      <c r="AD79" s="53"/>
      <c r="AE79" s="151"/>
      <c r="AF79" s="256"/>
      <c r="AG79" s="53"/>
      <c r="AH79" s="53"/>
      <c r="AI79" s="53"/>
      <c r="AJ79" s="151"/>
    </row>
    <row r="80" spans="2:37" ht="153" x14ac:dyDescent="0.25">
      <c r="B80" s="29" t="str">
        <f>'1 lentelė'!$B80</f>
        <v>2.1.1.1.1</v>
      </c>
      <c r="C80" s="29" t="str">
        <f>'1 lentelė'!$C80</f>
        <v>R093302-442942-2101</v>
      </c>
      <c r="D80" s="29" t="str">
        <f>'1 lentelė'!$D80</f>
        <v xml:space="preserve">Kompleksinis Okuličiūtės dvarelio Anykščiuose sutvarkymas ir pritaikymas kultūrinei, meninei veiklai </v>
      </c>
      <c r="E80" s="29" t="s">
        <v>65</v>
      </c>
      <c r="F80" s="154" t="s">
        <v>941</v>
      </c>
      <c r="G80" s="119" t="str">
        <f>'2 lentelė'!$E80</f>
        <v>P.S.335</v>
      </c>
      <c r="H80" s="26" t="str">
        <f>'2 lentelė'!$F80</f>
        <v>Sutvarkyti, įrengti ir pritaikyti lankymui gamtos ir kultūros paveldo objektai ir teritorijos (skaičius)</v>
      </c>
      <c r="I80" s="26">
        <f>'2 lentelė'!$G80</f>
        <v>1</v>
      </c>
      <c r="J80" s="52">
        <v>1</v>
      </c>
      <c r="K80" s="148">
        <v>1</v>
      </c>
      <c r="L80" s="119" t="str">
        <f>'2 lentelė'!$H80</f>
        <v>P.B.209</v>
      </c>
      <c r="M80" s="26" t="str">
        <f>'2 lentelė'!$I80</f>
        <v xml:space="preserve">Numatomo apsilankymų remiamuose kultūros ir gamtos paveldo objektuose bei turistų traukos vietose skaičiaus padidėjimas </v>
      </c>
      <c r="N80" s="26">
        <f>'2 lentelė'!$J80</f>
        <v>1400</v>
      </c>
      <c r="O80" s="26">
        <v>1400</v>
      </c>
      <c r="P80" s="120">
        <v>1400</v>
      </c>
      <c r="Q80" s="121"/>
      <c r="R80" s="23"/>
      <c r="S80" s="23"/>
      <c r="T80" s="52"/>
      <c r="U80" s="148"/>
      <c r="V80" s="123"/>
      <c r="W80" s="31"/>
      <c r="X80" s="23"/>
      <c r="Y80" s="26"/>
      <c r="Z80" s="120"/>
      <c r="AA80" s="124"/>
      <c r="AB80" s="48"/>
      <c r="AC80" s="48"/>
      <c r="AD80" s="64"/>
      <c r="AE80" s="135"/>
      <c r="AF80" s="124"/>
      <c r="AG80" s="48"/>
      <c r="AH80" s="48"/>
      <c r="AI80" s="48"/>
      <c r="AJ80" s="125"/>
      <c r="AK80" s="6"/>
    </row>
    <row r="81" spans="2:41" ht="153" x14ac:dyDescent="0.25">
      <c r="B81" s="29" t="str">
        <f>'1 lentelė'!$B81</f>
        <v xml:space="preserve">2.1.1.1.2 </v>
      </c>
      <c r="C81" s="29" t="str">
        <f>'1 lentelė'!$C81</f>
        <v>R093302-440000-2102</v>
      </c>
      <c r="D81" s="29" t="str">
        <f>'1 lentelė'!$D81</f>
        <v xml:space="preserve">Naujų kultūros paslaugų visuomenės kultūriniams poreikiams tenkinti sukūrimas Utenos meno mokykloje </v>
      </c>
      <c r="E81" s="29" t="s">
        <v>30</v>
      </c>
      <c r="F81" s="154" t="s">
        <v>942</v>
      </c>
      <c r="G81" s="119" t="str">
        <f>'2 lentelė'!$E81</f>
        <v>P.S.335</v>
      </c>
      <c r="H81" s="26" t="str">
        <f>'2 lentelė'!$F81</f>
        <v>Sutvarkyti, įrengti ir pritaikyti lankymui gamtos ir kultūros paveldo objektai ir teritorijos (skaičius)</v>
      </c>
      <c r="I81" s="26">
        <f>'2 lentelė'!$G81</f>
        <v>1</v>
      </c>
      <c r="J81" s="52">
        <v>1</v>
      </c>
      <c r="K81" s="148">
        <v>1</v>
      </c>
      <c r="L81" s="119" t="str">
        <f>'2 lentelė'!$H81</f>
        <v>P.B.209</v>
      </c>
      <c r="M81" s="26" t="str">
        <f>'2 lentelė'!$I81</f>
        <v xml:space="preserve">Numatomo apsilankymų remiamuose kultūros ir gamtos paveldo objektuose bei turistų traukos vietose skaičiaus padidėjimas </v>
      </c>
      <c r="N81" s="26">
        <f>'2 lentelė'!$J81</f>
        <v>2800</v>
      </c>
      <c r="O81" s="52">
        <v>2800</v>
      </c>
      <c r="P81" s="148">
        <v>2800</v>
      </c>
      <c r="Q81" s="121"/>
      <c r="R81" s="23"/>
      <c r="S81" s="23"/>
      <c r="T81" s="52"/>
      <c r="U81" s="148"/>
      <c r="V81" s="123"/>
      <c r="W81" s="31"/>
      <c r="X81" s="23"/>
      <c r="Y81" s="26"/>
      <c r="Z81" s="120"/>
      <c r="AA81" s="124"/>
      <c r="AB81" s="48"/>
      <c r="AC81" s="48"/>
      <c r="AD81" s="64"/>
      <c r="AE81" s="135"/>
      <c r="AF81" s="124"/>
      <c r="AG81" s="48"/>
      <c r="AH81" s="48"/>
      <c r="AI81" s="64"/>
      <c r="AJ81" s="135"/>
      <c r="AK81" s="6"/>
    </row>
    <row r="82" spans="2:41" ht="153.75" customHeight="1" x14ac:dyDescent="0.25">
      <c r="B82" s="29" t="str">
        <f>'1 lentelė'!$B82</f>
        <v>2.1.1.1.3</v>
      </c>
      <c r="C82" s="29" t="str">
        <f>'1 lentelė'!$C82</f>
        <v>R093302-440000-2103</v>
      </c>
      <c r="D82" s="29" t="str">
        <f>'1 lentelė'!$D82</f>
        <v>Atgailos kanauninkų vienuolyno namo kapitalinis remontas pritaikant amatų centro ir bendruomenės poreikiams</v>
      </c>
      <c r="E82" s="29" t="s">
        <v>66</v>
      </c>
      <c r="F82" s="154" t="s">
        <v>943</v>
      </c>
      <c r="G82" s="119" t="str">
        <f>'2 lentelė'!$E82</f>
        <v>P.S.335</v>
      </c>
      <c r="H82" s="26" t="str">
        <f>'2 lentelė'!$F82</f>
        <v>Sutvarkyti, įrengti ir pritaikyti lankymui gamtos ir kultūros paveldo objektai ir teritorijos</v>
      </c>
      <c r="I82" s="26">
        <f>'2 lentelė'!$G82</f>
        <v>1</v>
      </c>
      <c r="J82" s="52">
        <v>1</v>
      </c>
      <c r="K82" s="148">
        <v>0</v>
      </c>
      <c r="L82" s="119" t="str">
        <f>'2 lentelė'!$H82</f>
        <v>P.B.209</v>
      </c>
      <c r="M82" s="26" t="str">
        <f>'2 lentelė'!$I82</f>
        <v>Numatomo apsilankymų remiamuose kultūros ir gamtos paveldo objektuose bei turistų traukos vietose skaičiaus padidėjimas</v>
      </c>
      <c r="N82" s="26">
        <f>'2 lentelė'!$J82</f>
        <v>1500</v>
      </c>
      <c r="O82" s="26">
        <v>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153" x14ac:dyDescent="0.25">
      <c r="B83" s="29" t="str">
        <f>'1 lentelė'!$B83</f>
        <v>2.1.1.1.4</v>
      </c>
      <c r="C83" s="29" t="str">
        <f>'1 lentelė'!$C83</f>
        <v>R093302-442942-2104</v>
      </c>
      <c r="D83" s="29" t="str">
        <f>'1 lentelė'!$D83</f>
        <v>Valstybės saugomo kultūros paveldo objekto – Antazavės dvaro aktualizavimas</v>
      </c>
      <c r="E83" s="29" t="s">
        <v>66</v>
      </c>
      <c r="F83" s="154" t="s">
        <v>944</v>
      </c>
      <c r="G83" s="119" t="str">
        <f>'2 lentelė'!$E83</f>
        <v>P.S.335</v>
      </c>
      <c r="H83" s="26" t="str">
        <f>'2 lentelė'!$F83</f>
        <v>Sutvarkyti, įrengti ir pritaikyti lankymui gamtos ir kultūros paveldo objektai ir teritorijos (skaičius)</v>
      </c>
      <c r="I83" s="26">
        <f>'2 lentelė'!$G83</f>
        <v>1</v>
      </c>
      <c r="J83" s="52">
        <v>1</v>
      </c>
      <c r="K83" s="148">
        <v>0</v>
      </c>
      <c r="L83" s="119" t="str">
        <f>'2 lentelė'!$H83</f>
        <v>P.B.209</v>
      </c>
      <c r="M83" s="26" t="str">
        <f>'2 lentelė'!$I83</f>
        <v xml:space="preserve">Numatomo apsilankymų remiamuose kultūros ir gamtos paveldo objektuose bei turistų traukos vietose skaičiaus padidėjimas </v>
      </c>
      <c r="N83" s="26">
        <f>'2 lentelė'!$J83</f>
        <v>2600</v>
      </c>
      <c r="O83" s="26">
        <v>2600</v>
      </c>
      <c r="P83" s="120">
        <v>0</v>
      </c>
      <c r="Q83" s="121"/>
      <c r="R83" s="23"/>
      <c r="S83" s="23"/>
      <c r="T83" s="52"/>
      <c r="U83" s="148"/>
      <c r="V83" s="123"/>
      <c r="W83" s="31"/>
      <c r="X83" s="23"/>
      <c r="Y83" s="26"/>
      <c r="Z83" s="120"/>
      <c r="AA83" s="124"/>
      <c r="AB83" s="48"/>
      <c r="AC83" s="48"/>
      <c r="AD83" s="64"/>
      <c r="AE83" s="135"/>
      <c r="AF83" s="124"/>
      <c r="AG83" s="48"/>
      <c r="AH83" s="48"/>
      <c r="AI83" s="64"/>
      <c r="AJ83" s="135"/>
      <c r="AK83" s="6"/>
    </row>
    <row r="84" spans="2:41" ht="66.75" customHeight="1" x14ac:dyDescent="0.25">
      <c r="B84" s="62" t="str">
        <f>'1 lentelė'!$B84</f>
        <v>2.1.2</v>
      </c>
      <c r="C84" s="62"/>
      <c r="D84" s="61" t="str">
        <f>'1 lentelė'!$D84</f>
        <v>Uždavinys: Plėtoti turizmo išteklių ir paslaugų rinkodarą</v>
      </c>
      <c r="E84" s="62"/>
      <c r="F84" s="144"/>
      <c r="G84" s="62"/>
      <c r="H84" s="62"/>
      <c r="I84" s="62"/>
      <c r="J84" s="62"/>
      <c r="K84" s="144"/>
      <c r="L84" s="62"/>
      <c r="M84" s="62"/>
      <c r="N84" s="62"/>
      <c r="O84" s="62"/>
      <c r="P84" s="159"/>
      <c r="Q84" s="62"/>
      <c r="R84" s="62"/>
      <c r="S84" s="62"/>
      <c r="T84" s="62"/>
      <c r="U84" s="159"/>
      <c r="V84" s="62"/>
      <c r="W84" s="62"/>
      <c r="X84" s="62"/>
      <c r="Y84" s="43"/>
      <c r="Z84" s="144"/>
      <c r="AA84" s="62"/>
      <c r="AB84" s="62"/>
      <c r="AC84" s="62"/>
      <c r="AD84" s="62"/>
      <c r="AE84" s="159"/>
      <c r="AF84" s="62"/>
      <c r="AG84" s="62"/>
      <c r="AH84" s="62"/>
      <c r="AI84" s="43"/>
      <c r="AJ84" s="144"/>
      <c r="AK84" s="6"/>
    </row>
    <row r="85" spans="2:41" ht="123" customHeight="1" x14ac:dyDescent="0.25">
      <c r="B85" s="53" t="str">
        <f>'1 lentelė'!$B85</f>
        <v>2.1.2.1</v>
      </c>
      <c r="C85" s="53"/>
      <c r="D85" s="77" t="str">
        <f>'1 lentelė'!$D85</f>
        <v>Priemonė: Savivaldybes jungiančių turizmo trasų ir turizmo maršrutų informacinės infrastruktūros plėtra</v>
      </c>
      <c r="E85" s="53"/>
      <c r="F85" s="138"/>
      <c r="G85" s="53"/>
      <c r="H85" s="53"/>
      <c r="I85" s="53"/>
      <c r="J85" s="53"/>
      <c r="K85" s="138"/>
      <c r="L85" s="53"/>
      <c r="M85" s="53"/>
      <c r="N85" s="53"/>
      <c r="O85" s="53"/>
      <c r="P85" s="151"/>
      <c r="Q85" s="53"/>
      <c r="R85" s="53"/>
      <c r="S85" s="53"/>
      <c r="T85" s="53"/>
      <c r="U85" s="151"/>
      <c r="V85" s="53"/>
      <c r="W85" s="53"/>
      <c r="X85" s="53"/>
      <c r="Y85" s="44"/>
      <c r="Z85" s="138"/>
      <c r="AA85" s="53"/>
      <c r="AB85" s="53"/>
      <c r="AC85" s="53"/>
      <c r="AD85" s="53"/>
      <c r="AE85" s="151"/>
      <c r="AF85" s="53"/>
      <c r="AG85" s="53"/>
      <c r="AH85" s="53"/>
      <c r="AI85" s="44"/>
      <c r="AJ85" s="138"/>
      <c r="AK85" s="6"/>
    </row>
    <row r="86" spans="2:41" ht="65.25" customHeight="1" x14ac:dyDescent="0.25">
      <c r="B86" s="29" t="str">
        <f>'1 lentelė'!$B86</f>
        <v xml:space="preserve">2.1.2.1.2 </v>
      </c>
      <c r="C86" s="29" t="str">
        <f>'1 lentelė'!$C86</f>
        <v>R098821-420000-2106</v>
      </c>
      <c r="D86" s="29" t="str">
        <f>'1 lentelė'!$D86</f>
        <v>Informacinės infrastruktūros plėtra Ignalinos, Molėtų ir Utenos rajonuose</v>
      </c>
      <c r="E86" s="29" t="s">
        <v>66</v>
      </c>
      <c r="F86" s="282" t="s">
        <v>1519</v>
      </c>
      <c r="G86" s="324" t="str">
        <f>'2 lentelė'!E86</f>
        <v>P.N.817</v>
      </c>
      <c r="H86" s="26" t="str">
        <f>'2 lentelė'!F86</f>
        <v>Įrengti ženklinimo infrastruktūros objektai</v>
      </c>
      <c r="I86" s="26">
        <f>'2 lentelė'!G86</f>
        <v>127</v>
      </c>
      <c r="J86" s="26">
        <f>'2 lentelė'!H86</f>
        <v>0</v>
      </c>
      <c r="K86" s="161">
        <f>'2 lentelė'!I86</f>
        <v>0</v>
      </c>
      <c r="L86" s="119"/>
      <c r="M86" s="26"/>
      <c r="N86" s="26"/>
      <c r="O86" s="52"/>
      <c r="P86" s="148"/>
      <c r="Q86" s="121"/>
      <c r="R86" s="23"/>
      <c r="S86" s="23"/>
      <c r="T86" s="52"/>
      <c r="U86" s="148"/>
      <c r="V86" s="123"/>
      <c r="W86" s="31"/>
      <c r="X86" s="23"/>
      <c r="Y86" s="26"/>
      <c r="Z86" s="120"/>
      <c r="AA86" s="124"/>
      <c r="AB86" s="48"/>
      <c r="AC86" s="48"/>
      <c r="AD86" s="64"/>
      <c r="AE86" s="135"/>
      <c r="AF86" s="124"/>
      <c r="AG86" s="48"/>
      <c r="AH86" s="48"/>
      <c r="AI86" s="130"/>
      <c r="AJ86" s="160"/>
      <c r="AK86" s="6"/>
    </row>
    <row r="87" spans="2:41" ht="65.25" customHeight="1" x14ac:dyDescent="0.25">
      <c r="B87" s="29" t="str">
        <f>'1 lentelė'!$B89</f>
        <v>2.1.2.1.3</v>
      </c>
      <c r="C87" s="29" t="str">
        <f>'1 lentelė'!$C89</f>
        <v>R098821-420000-2107</v>
      </c>
      <c r="D87" s="29" t="str">
        <f>'1 lentelė'!$D89</f>
        <v>Taktiliniai maketai turistui po atviru dangumi</v>
      </c>
      <c r="E87" s="29" t="s">
        <v>66</v>
      </c>
      <c r="F87" s="118" t="s">
        <v>1520</v>
      </c>
      <c r="G87" s="324" t="str">
        <f>'2 lentelė'!E87</f>
        <v>P.N.817</v>
      </c>
      <c r="H87" s="26" t="str">
        <f>'2 lentelė'!F87</f>
        <v>Įrengti ženklinimo infrastruktūros objektai</v>
      </c>
      <c r="I87" s="26">
        <f>'2 lentelė'!G87</f>
        <v>30</v>
      </c>
      <c r="J87" s="26">
        <f>'2 lentelė'!H87</f>
        <v>0</v>
      </c>
      <c r="K87" s="161">
        <f>'2 lentelė'!I87</f>
        <v>0</v>
      </c>
      <c r="L87" s="324"/>
      <c r="M87" s="26"/>
      <c r="N87" s="26"/>
      <c r="O87" s="52"/>
      <c r="P87" s="148"/>
      <c r="Q87" s="267"/>
      <c r="R87" s="23"/>
      <c r="S87" s="23"/>
      <c r="T87" s="52"/>
      <c r="U87" s="148"/>
      <c r="V87" s="279"/>
      <c r="W87" s="31"/>
      <c r="X87" s="23"/>
      <c r="Y87" s="26"/>
      <c r="Z87" s="120"/>
      <c r="AA87" s="268"/>
      <c r="AB87" s="48"/>
      <c r="AC87" s="48"/>
      <c r="AD87" s="64"/>
      <c r="AE87" s="135"/>
      <c r="AF87" s="268"/>
      <c r="AG87" s="48"/>
      <c r="AH87" s="48"/>
      <c r="AI87" s="130"/>
      <c r="AJ87" s="160"/>
      <c r="AK87" s="6"/>
    </row>
    <row r="88" spans="2:41" ht="84.75" customHeight="1" x14ac:dyDescent="0.25">
      <c r="B88" s="29" t="str">
        <f>'1 lentelė'!$B90</f>
        <v>2.1.2.1.4</v>
      </c>
      <c r="C88" s="29" t="str">
        <f>'1 lentelė'!$C90</f>
        <v>R098821-420000-2108</v>
      </c>
      <c r="D88" s="29" t="str">
        <f>'1 lentelė'!$D90</f>
        <v>Turizmo informacinės infrastruktūros plėtra Utenos, Ignalinos, Zarasų rajonų ir Visagino savivaldybėse</v>
      </c>
      <c r="E88" s="29" t="s">
        <v>66</v>
      </c>
      <c r="F88" s="118" t="s">
        <v>1521</v>
      </c>
      <c r="G88" s="324" t="str">
        <f>'2 lentelė'!E88</f>
        <v>P.N.817</v>
      </c>
      <c r="H88" s="26" t="str">
        <f>'2 lentelė'!F88</f>
        <v>Įrengti ženklinimo infrastruktūros objektai</v>
      </c>
      <c r="I88" s="26">
        <f>'2 lentelė'!G88</f>
        <v>27</v>
      </c>
      <c r="J88" s="26">
        <f>'2 lentelė'!H88</f>
        <v>0</v>
      </c>
      <c r="K88" s="161">
        <f>'2 lentelė'!I88</f>
        <v>0</v>
      </c>
      <c r="L88" s="324"/>
      <c r="M88" s="26"/>
      <c r="N88" s="26"/>
      <c r="O88" s="52"/>
      <c r="P88" s="148"/>
      <c r="Q88" s="267"/>
      <c r="R88" s="23"/>
      <c r="S88" s="23"/>
      <c r="T88" s="52"/>
      <c r="U88" s="148"/>
      <c r="V88" s="279"/>
      <c r="W88" s="31"/>
      <c r="X88" s="23"/>
      <c r="Y88" s="26"/>
      <c r="Z88" s="120"/>
      <c r="AA88" s="268"/>
      <c r="AB88" s="48"/>
      <c r="AC88" s="48"/>
      <c r="AD88" s="64"/>
      <c r="AE88" s="135"/>
      <c r="AF88" s="268"/>
      <c r="AG88" s="48"/>
      <c r="AH88" s="48"/>
      <c r="AI88" s="130"/>
      <c r="AJ88" s="160"/>
      <c r="AK88" s="6"/>
    </row>
    <row r="89" spans="2:41" ht="50.25" customHeight="1" x14ac:dyDescent="0.25">
      <c r="B89" s="58" t="str">
        <f>'1 lentelė'!$B90</f>
        <v>2.1.2.1.4</v>
      </c>
      <c r="C89" s="58"/>
      <c r="D89" s="58" t="str">
        <f>'1 lentelė'!$D90</f>
        <v>Turizmo informacinės infrastruktūros plėtra Utenos, Ignalinos, Zarasų rajonų ir Visagino savivaldybėse</v>
      </c>
      <c r="E89" s="58"/>
      <c r="F89" s="140"/>
      <c r="G89" s="58"/>
      <c r="H89" s="58"/>
      <c r="I89" s="58"/>
      <c r="J89" s="58"/>
      <c r="K89" s="140"/>
      <c r="L89" s="58"/>
      <c r="M89" s="58"/>
      <c r="N89" s="58"/>
      <c r="O89" s="58"/>
      <c r="P89" s="157"/>
      <c r="Q89" s="58"/>
      <c r="R89" s="58"/>
      <c r="S89" s="58"/>
      <c r="T89" s="58"/>
      <c r="U89" s="157"/>
      <c r="V89" s="58"/>
      <c r="W89" s="58"/>
      <c r="X89" s="58"/>
      <c r="Y89" s="45"/>
      <c r="Z89" s="140"/>
      <c r="AA89" s="58"/>
      <c r="AB89" s="58"/>
      <c r="AC89" s="58"/>
      <c r="AD89" s="58"/>
      <c r="AE89" s="157"/>
      <c r="AF89" s="58"/>
      <c r="AG89" s="58"/>
      <c r="AH89" s="58"/>
      <c r="AI89" s="45"/>
      <c r="AJ89" s="140"/>
      <c r="AK89" s="6"/>
    </row>
    <row r="90" spans="2:41" ht="116.25" customHeight="1" x14ac:dyDescent="0.25">
      <c r="B90" s="62" t="str">
        <f>'1 lentelė'!$B92</f>
        <v>2.2.1</v>
      </c>
      <c r="C90" s="62"/>
      <c r="D90" s="61" t="str">
        <f>'1 lentelė'!$D92</f>
        <v>Uždavinys: Plėtoti tvarią šilumos energijos, vandens tiekimo, nuotekų šalinimo ir atliekų tvarkymo sistemą</v>
      </c>
      <c r="E90" s="62"/>
      <c r="F90" s="144"/>
      <c r="G90" s="62"/>
      <c r="H90" s="62"/>
      <c r="I90" s="62"/>
      <c r="J90" s="62"/>
      <c r="K90" s="144"/>
      <c r="L90" s="62"/>
      <c r="M90" s="62"/>
      <c r="N90" s="62"/>
      <c r="O90" s="62"/>
      <c r="P90" s="159"/>
      <c r="Q90" s="62"/>
      <c r="R90" s="62"/>
      <c r="S90" s="62"/>
      <c r="T90" s="62"/>
      <c r="U90" s="159"/>
      <c r="V90" s="62"/>
      <c r="W90" s="62"/>
      <c r="X90" s="62"/>
      <c r="Y90" s="43"/>
      <c r="Z90" s="144"/>
      <c r="AA90" s="62"/>
      <c r="AB90" s="62"/>
      <c r="AC90" s="62"/>
      <c r="AD90" s="62"/>
      <c r="AE90" s="159"/>
      <c r="AF90" s="62"/>
      <c r="AG90" s="62"/>
      <c r="AH90" s="62"/>
      <c r="AI90" s="43"/>
      <c r="AJ90" s="144"/>
      <c r="AK90" s="6"/>
    </row>
    <row r="91" spans="2:41" ht="142.5" customHeight="1" x14ac:dyDescent="0.25">
      <c r="B91" s="53" t="str">
        <f>'1 lentelė'!$B93</f>
        <v>2.2.1.1</v>
      </c>
      <c r="C91" s="53"/>
      <c r="D91" s="77" t="str">
        <f>'1 lentelė'!$D93</f>
        <v>Priemonė: Geriamojo vandens tiekimo ir nuotekų tvarkymo sistemų renovavimas ir plėtra, įmonių valdymo tobulinimas</v>
      </c>
      <c r="E91" s="53"/>
      <c r="F91" s="138"/>
      <c r="G91" s="53"/>
      <c r="H91" s="53"/>
      <c r="I91" s="53"/>
      <c r="J91" s="53"/>
      <c r="K91" s="138"/>
      <c r="L91" s="53"/>
      <c r="M91" s="53"/>
      <c r="N91" s="53"/>
      <c r="O91" s="53"/>
      <c r="P91" s="151"/>
      <c r="Q91" s="53"/>
      <c r="R91" s="53"/>
      <c r="S91" s="53"/>
      <c r="T91" s="53"/>
      <c r="U91" s="151"/>
      <c r="V91" s="53"/>
      <c r="W91" s="53"/>
      <c r="X91" s="53"/>
      <c r="Y91" s="44"/>
      <c r="Z91" s="138"/>
      <c r="AA91" s="53"/>
      <c r="AB91" s="53"/>
      <c r="AC91" s="53"/>
      <c r="AD91" s="53"/>
      <c r="AE91" s="151"/>
      <c r="AF91" s="53"/>
      <c r="AG91" s="53"/>
      <c r="AH91" s="53"/>
      <c r="AI91" s="44"/>
      <c r="AJ91" s="138"/>
      <c r="AK91" s="6"/>
    </row>
    <row r="92" spans="2:41" ht="178.5" x14ac:dyDescent="0.25">
      <c r="B92" s="29" t="str">
        <f>'1 lentelė'!$B94</f>
        <v>2.2.1.1.1</v>
      </c>
      <c r="C92" s="29" t="str">
        <f>'1 lentelė'!$C94</f>
        <v>R090014-060700-2201</v>
      </c>
      <c r="D92" s="29" t="str">
        <f>'1 lentelė'!$D94</f>
        <v xml:space="preserve">Vandens tiekimo ir nuotekų tvarkymo infrastruktūros plėtra Ignalinos rajone </v>
      </c>
      <c r="E92" s="29" t="s">
        <v>66</v>
      </c>
      <c r="F92" s="118" t="s">
        <v>946</v>
      </c>
      <c r="G92" s="324" t="str">
        <f>'2 lentelė'!E92</f>
        <v>P.S.333</v>
      </c>
      <c r="H92" s="26" t="str">
        <f>'2 lentelė'!F92</f>
        <v>Rekonstruotų vandens tiekimo ir nuotekų surinkimo tinklų ilgis (km)</v>
      </c>
      <c r="I92" s="26">
        <f>'2 lentelė'!G92</f>
        <v>5.23</v>
      </c>
      <c r="J92" s="26">
        <v>5.23</v>
      </c>
      <c r="K92" s="161">
        <v>4.24</v>
      </c>
      <c r="L92" s="324" t="str">
        <f>'2 lentelė'!H92</f>
        <v>P.N.050</v>
      </c>
      <c r="M92" s="26" t="str">
        <f>'2 lentelė'!I92</f>
        <v>Gyventojai, kuriems teikiamos vandens tiekimo paslaugos naujai pastatytais geriamojo vandens tiekimo tinklais (skaičius)</v>
      </c>
      <c r="N92" s="26">
        <f>'2 lentelė'!J92</f>
        <v>16</v>
      </c>
      <c r="O92" s="26">
        <v>16</v>
      </c>
      <c r="P92" s="120">
        <v>0</v>
      </c>
      <c r="Q92" s="325" t="str">
        <f>'2 lentelė'!K92</f>
        <v>P.N.051</v>
      </c>
      <c r="R92" s="23" t="str">
        <f>'2 lentelė'!L92</f>
        <v>Gyventojai, kuriems teikiamos vandenstiekimo paslaugos iš naujai pastatytų ir (arba) rekonstruotų geriamojo vandens gerinimo įrenginių (skaičius)</v>
      </c>
      <c r="S92" s="267">
        <f>'2 lentelė'!M92</f>
        <v>1298</v>
      </c>
      <c r="T92" s="26">
        <v>1298</v>
      </c>
      <c r="U92" s="120">
        <v>1298</v>
      </c>
      <c r="V92" s="121" t="str">
        <f>'2 lentelė'!N92</f>
        <v>P.N.053</v>
      </c>
      <c r="W92" s="325" t="str">
        <f>'2 lentelė'!O92</f>
        <v>Gyventojai, kuriems teikiamos paslaugos naujai pastatytais nuotekų surinkimo tinklais (GE)</v>
      </c>
      <c r="X92" s="23">
        <f>'2 lentelė'!P92</f>
        <v>120</v>
      </c>
      <c r="Y92" s="26">
        <v>120</v>
      </c>
      <c r="Z92" s="120">
        <v>2</v>
      </c>
      <c r="AA92" s="23" t="str">
        <f>'2 lentelė'!Q92</f>
        <v>P.N.054</v>
      </c>
      <c r="AB92" s="23" t="str">
        <f>'2 lentelė'!R92</f>
        <v>Gyventojai, kuriems teikiamos nuotekų valymo paslaugos naujai pastatytais ir (arba) rekonstruotais nuotekų valymo įrenginiais (GE)</v>
      </c>
      <c r="AC92" s="23">
        <f>'2 lentelė'!S92</f>
        <v>27</v>
      </c>
      <c r="AD92" s="23">
        <v>27</v>
      </c>
      <c r="AE92" s="120">
        <v>27</v>
      </c>
      <c r="AF92" s="23" t="str">
        <f>'2 lentelė'!T92</f>
        <v>P.B.218</v>
      </c>
      <c r="AG92" s="23" t="str">
        <f>'2 lentelė'!U92</f>
        <v>Papildomi gyventojai, kuriems teikiamos pagerintos vandens tiekimo paslaugos</v>
      </c>
      <c r="AH92" s="23">
        <f>'2 lentelė'!V92</f>
        <v>1314</v>
      </c>
      <c r="AI92" s="23">
        <v>1314</v>
      </c>
      <c r="AJ92" s="259">
        <v>1299</v>
      </c>
      <c r="AK92" s="161" t="s">
        <v>738</v>
      </c>
      <c r="AL92" s="26" t="s">
        <v>739</v>
      </c>
      <c r="AM92" s="26">
        <v>147</v>
      </c>
      <c r="AN92" s="26">
        <v>147</v>
      </c>
      <c r="AO92" s="259">
        <v>29</v>
      </c>
    </row>
    <row r="93" spans="2:41" ht="165.75" x14ac:dyDescent="0.25">
      <c r="B93" s="29" t="str">
        <f>'1 lentelė'!$B95</f>
        <v>2.2.1.1.2</v>
      </c>
      <c r="C93" s="29" t="str">
        <f>'1 lentelė'!$C95</f>
        <v>R090014-070000-2202</v>
      </c>
      <c r="D93" s="29" t="str">
        <f>'1 lentelė'!$D95</f>
        <v xml:space="preserve">Vandens tiekimo ir nuotekų tvarkymo infrastruktūros plėtra ir rekonstravimas Zarasų rajono savivaldybėje </v>
      </c>
      <c r="E93" s="29" t="s">
        <v>66</v>
      </c>
      <c r="F93" s="118" t="s">
        <v>947</v>
      </c>
      <c r="G93" s="324" t="str">
        <f>'2 lentelė'!E93</f>
        <v>P.N.050</v>
      </c>
      <c r="H93" s="26" t="str">
        <f>'2 lentelė'!F93</f>
        <v>Gyventojai, kuriems teikiamos vandens tiekimo paslaugos naujai pastatytais geriamojo vandens tiekimo tinklais (skaičius)</v>
      </c>
      <c r="I93" s="26">
        <f>'2 lentelė'!G93</f>
        <v>106</v>
      </c>
      <c r="J93" s="26">
        <v>106</v>
      </c>
      <c r="K93" s="161">
        <v>0</v>
      </c>
      <c r="L93" s="324" t="str">
        <f>'2 lentelė'!H93</f>
        <v>P.N.053</v>
      </c>
      <c r="M93" s="26" t="str">
        <f>'2 lentelė'!I93</f>
        <v>Gyventojai, kuriems teikiamos paslaugos naujai pastatytais nuotekų surinkimo tinklais (GE)</v>
      </c>
      <c r="N93" s="26">
        <f>'2 lentelė'!J93</f>
        <v>358</v>
      </c>
      <c r="O93" s="26">
        <v>358</v>
      </c>
      <c r="P93" s="120">
        <v>0</v>
      </c>
      <c r="Q93" s="325" t="str">
        <f>'2 lentelė'!K93</f>
        <v>P.N.054</v>
      </c>
      <c r="R93" s="23" t="str">
        <f>'2 lentelė'!L93</f>
        <v xml:space="preserve">Gyventojai, kuriems teikiamos nuotekų valymo paslaugos naujai pastatytais ir (arba) rekonstruotais nuotekų valymo įrenginiais </v>
      </c>
      <c r="S93" s="267">
        <f>'2 lentelė'!M93</f>
        <v>42</v>
      </c>
      <c r="T93" s="26">
        <v>42</v>
      </c>
      <c r="U93" s="120">
        <v>42</v>
      </c>
      <c r="V93" s="121" t="str">
        <f>'2 lentelė'!N93</f>
        <v>P.B.218</v>
      </c>
      <c r="W93" s="325" t="str">
        <f>'2 lentelė'!O93</f>
        <v>Papildomi gyventojai, kuriems teikiamos pagerintos vandens tiekimo paslaugos</v>
      </c>
      <c r="X93" s="23">
        <f>'2 lentelė'!P93</f>
        <v>106</v>
      </c>
      <c r="Y93" s="26">
        <v>106</v>
      </c>
      <c r="Z93" s="120">
        <v>0</v>
      </c>
      <c r="AA93" s="23" t="str">
        <f>'2 lentelė'!Q93</f>
        <v>P.B.219</v>
      </c>
      <c r="AB93" s="23" t="str">
        <f>'2 lentelė'!R93</f>
        <v>Papildomi gyventojai, kuriems teikiamos pagerintos nuotekų tvarkymo paslaugos</v>
      </c>
      <c r="AC93" s="23">
        <f>'2 lentelė'!S93</f>
        <v>400</v>
      </c>
      <c r="AD93" s="23">
        <v>400</v>
      </c>
      <c r="AE93" s="120">
        <v>42</v>
      </c>
      <c r="AF93" s="23"/>
      <c r="AG93" s="23"/>
      <c r="AH93" s="23"/>
      <c r="AI93" s="23"/>
      <c r="AJ93" s="259"/>
      <c r="AK93" s="27"/>
      <c r="AL93" s="6"/>
      <c r="AM93" s="6"/>
      <c r="AN93" s="6"/>
      <c r="AO93" s="6"/>
    </row>
    <row r="94" spans="2:41" ht="89.25" x14ac:dyDescent="0.25">
      <c r="B94" s="29" t="str">
        <f>'1 lentelė'!$B96</f>
        <v>2.2.1.1.3</v>
      </c>
      <c r="C94" s="29" t="str">
        <f>'1 lentelė'!$C96</f>
        <v>R090014-060000-2203</v>
      </c>
      <c r="D94" s="29" t="str">
        <f>'1 lentelė'!$D96</f>
        <v xml:space="preserve">Vandens tiekimo ir nuotekų tinklų rekonstravimas Visagine </v>
      </c>
      <c r="E94" s="29" t="s">
        <v>66</v>
      </c>
      <c r="F94" s="118" t="s">
        <v>950</v>
      </c>
      <c r="G94" s="324" t="str">
        <f>'2 lentelė'!E94</f>
        <v>P.S.333</v>
      </c>
      <c r="H94" s="26" t="str">
        <f>'2 lentelė'!F94</f>
        <v>Rekonstruotų vandens tiekimo ir nuotekų surinkimo tinklų ilgis (km)</v>
      </c>
      <c r="I94" s="26">
        <f>'2 lentelė'!G94</f>
        <v>19.37</v>
      </c>
      <c r="J94" s="26">
        <v>19.579999999999998</v>
      </c>
      <c r="K94" s="161">
        <v>19.37</v>
      </c>
      <c r="L94" s="324"/>
      <c r="M94" s="26"/>
      <c r="N94" s="26"/>
      <c r="O94" s="26"/>
      <c r="P94" s="120"/>
      <c r="Q94" s="325"/>
      <c r="R94" s="23"/>
      <c r="S94" s="267"/>
      <c r="T94" s="26"/>
      <c r="U94" s="120"/>
      <c r="V94" s="121"/>
      <c r="W94" s="325"/>
      <c r="X94" s="23"/>
      <c r="Y94" s="26"/>
      <c r="Z94" s="120"/>
      <c r="AA94" s="23"/>
      <c r="AB94" s="23"/>
      <c r="AC94" s="23"/>
      <c r="AD94" s="23"/>
      <c r="AE94" s="120"/>
      <c r="AF94" s="23"/>
      <c r="AG94" s="23"/>
      <c r="AH94" s="23"/>
      <c r="AI94" s="23"/>
      <c r="AJ94" s="259"/>
      <c r="AK94" s="27"/>
    </row>
    <row r="95" spans="2:41" ht="165.75" x14ac:dyDescent="0.25">
      <c r="B95" s="29" t="str">
        <f>'1 lentelė'!$B97</f>
        <v>2.2.1.1.4</v>
      </c>
      <c r="C95" s="29" t="str">
        <f>'1 lentelė'!$C97</f>
        <v>R090014-070600-2204</v>
      </c>
      <c r="D95" s="29" t="str">
        <f>'1 lentelė'!$D97</f>
        <v>Vandens tiekimo ir nuotekų tvarkymo infrastruktūros plėtra ir rekonstrukcija Anykščių r. sav. Kurklių miestelyje</v>
      </c>
      <c r="E95" s="29" t="s">
        <v>66</v>
      </c>
      <c r="F95" s="118" t="s">
        <v>949</v>
      </c>
      <c r="G95" s="324" t="str">
        <f>'2 lentelė'!E95</f>
        <v>P.N.050</v>
      </c>
      <c r="H95" s="26" t="str">
        <f>'2 lentelė'!F95</f>
        <v>Gyventojai, kuriems teikiamos vandens tiekimo paslaugos naujai pastatytais geriamojo vandens tiekimo tinklais (skaičius)</v>
      </c>
      <c r="I95" s="26">
        <f>'2 lentelė'!G95</f>
        <v>328</v>
      </c>
      <c r="J95" s="26">
        <v>328</v>
      </c>
      <c r="K95" s="161">
        <v>61</v>
      </c>
      <c r="L95" s="324" t="str">
        <f>'2 lentelė'!H95</f>
        <v>P.N.053</v>
      </c>
      <c r="M95" s="26" t="str">
        <f>'2 lentelė'!I95</f>
        <v>Gyventojai, kuriems teikiamos paslaugos naujai pastatytais nuotekų surinkimo tinklais (GE)</v>
      </c>
      <c r="N95" s="26">
        <f>'2 lentelė'!J95</f>
        <v>273</v>
      </c>
      <c r="O95" s="26">
        <v>273</v>
      </c>
      <c r="P95" s="120">
        <v>63</v>
      </c>
      <c r="Q95" s="325" t="str">
        <f>'2 lentelė'!K95</f>
        <v>P.N.054</v>
      </c>
      <c r="R95" s="23" t="str">
        <f>'2 lentelė'!L95</f>
        <v xml:space="preserve">Gyventojai, kuriems teikiamos nuotekų valymo paslaugos naujai pastatytais ir (arba) rekonstruotais nuotekų valymo įrenginiais </v>
      </c>
      <c r="S95" s="267">
        <f>'2 lentelė'!M95</f>
        <v>350</v>
      </c>
      <c r="T95" s="26">
        <v>350</v>
      </c>
      <c r="U95" s="120">
        <v>0</v>
      </c>
      <c r="V95" s="121" t="str">
        <f>'2 lentelė'!N95</f>
        <v>P.S.333</v>
      </c>
      <c r="W95" s="121" t="str">
        <f>'2 lentelė'!O95</f>
        <v>Rekonstruotų vandens tiekimo ir nuotekų surinkimo tinklų ilgis (km)</v>
      </c>
      <c r="X95" s="121">
        <f>'2 lentelė'!P95</f>
        <v>0.31</v>
      </c>
      <c r="Y95" s="26">
        <v>0.31</v>
      </c>
      <c r="Z95" s="120">
        <v>0</v>
      </c>
      <c r="AA95" s="23" t="str">
        <f>'2 lentelė'!Q95</f>
        <v>P.B.218</v>
      </c>
      <c r="AB95" s="23" t="str">
        <f>'2 lentelė'!R95</f>
        <v>Papildomi gyventojai, kuriems teikiamos pagerintos vandens tiekimo paslaugos</v>
      </c>
      <c r="AC95" s="23">
        <f>'2 lentelė'!S95</f>
        <v>328</v>
      </c>
      <c r="AD95" s="23">
        <v>328</v>
      </c>
      <c r="AE95" s="120">
        <v>61</v>
      </c>
      <c r="AF95" s="23" t="str">
        <f>'2 lentelė'!T95</f>
        <v>P.B.219</v>
      </c>
      <c r="AG95" s="23" t="str">
        <f>'2 lentelė'!U95</f>
        <v>Papildomi gyventojai, kuriems teikiamos pagerintos nuotekų tvarkymo paslaugos</v>
      </c>
      <c r="AH95" s="23">
        <f>'2 lentelė'!V95</f>
        <v>350</v>
      </c>
      <c r="AI95" s="23">
        <v>350</v>
      </c>
      <c r="AJ95" s="259">
        <v>63</v>
      </c>
      <c r="AK95" s="27"/>
    </row>
    <row r="96" spans="2:41" ht="165.75" x14ac:dyDescent="0.25">
      <c r="B96" s="29" t="str">
        <f>'1 lentelė'!$B98</f>
        <v>2.2.1.1.5</v>
      </c>
      <c r="C96" s="29" t="str">
        <f>'1 lentelė'!$C98</f>
        <v>R090014-070600-2205</v>
      </c>
      <c r="D96" s="29" t="str">
        <f>'1 lentelė'!$D98</f>
        <v xml:space="preserve"> Vandens tiekimo ir nuotekų tvarkymo infrastruktūros plėtra ir rekonstrukcija Molėtų rajone </v>
      </c>
      <c r="E96" s="29" t="s">
        <v>66</v>
      </c>
      <c r="F96" s="118" t="s">
        <v>948</v>
      </c>
      <c r="G96" s="324" t="str">
        <f>'2 lentelė'!E96</f>
        <v>P.N.050</v>
      </c>
      <c r="H96" s="26" t="str">
        <f>'2 lentelė'!F96</f>
        <v>Gyventojai, kuriems teikiamos vandens tiekimo paslaugos naujai pastatytais geriamojo vandens tiekimo tinklais (skaičius)</v>
      </c>
      <c r="I96" s="26">
        <f>'2 lentelė'!G96</f>
        <v>20</v>
      </c>
      <c r="J96" s="26">
        <v>20</v>
      </c>
      <c r="K96" s="161">
        <v>41</v>
      </c>
      <c r="L96" s="324" t="str">
        <f>'2 lentelė'!H96</f>
        <v>P.N.053</v>
      </c>
      <c r="M96" s="26" t="str">
        <f>'2 lentelė'!I96</f>
        <v>Gyventojai, kuriems teikiamos paslaugos naujai pastatytais nuotekų surinkimo tinklais (GE)</v>
      </c>
      <c r="N96" s="26">
        <f>'2 lentelė'!J96</f>
        <v>210</v>
      </c>
      <c r="O96" s="26">
        <v>210</v>
      </c>
      <c r="P96" s="120">
        <v>137</v>
      </c>
      <c r="Q96" s="325" t="str">
        <f>'2 lentelė'!K96</f>
        <v>P.N.054</v>
      </c>
      <c r="R96" s="23" t="str">
        <f>'2 lentelė'!L96</f>
        <v xml:space="preserve">Gyventojai, kuriems teikiamos nuotekų valymo paslaugos naujai pastatytais ir (arba) rekonstruotais nuotekų valymo įrenginiais </v>
      </c>
      <c r="S96" s="23">
        <f>'2 lentelė'!M96</f>
        <v>194</v>
      </c>
      <c r="T96" s="26">
        <v>194</v>
      </c>
      <c r="U96" s="120">
        <v>227</v>
      </c>
      <c r="V96" s="121" t="str">
        <f>'2 lentelė'!N96</f>
        <v>P.S.333</v>
      </c>
      <c r="W96" s="325" t="str">
        <f>'2 lentelė'!O96</f>
        <v>Rekonstruotų vandens tiekimo ir nuotekų surinkimo tinklų ilgis (km)</v>
      </c>
      <c r="X96" s="23">
        <f>'2 lentelė'!P96</f>
        <v>2.4300000000000002</v>
      </c>
      <c r="Y96" s="26">
        <v>2.4300000000000002</v>
      </c>
      <c r="Z96" s="120">
        <v>2.4300000000000002</v>
      </c>
      <c r="AA96" s="23" t="str">
        <f>'2 lentelė'!Q96</f>
        <v>P.B.218</v>
      </c>
      <c r="AB96" s="23" t="str">
        <f>'2 lentelė'!R96</f>
        <v>Papildomi gyventojai, kuriems teikiamos pagerintos vandens tiekimo paslaugos</v>
      </c>
      <c r="AC96" s="23">
        <f>'2 lentelė'!S96</f>
        <v>20</v>
      </c>
      <c r="AD96" s="23">
        <v>20</v>
      </c>
      <c r="AE96" s="120">
        <v>41</v>
      </c>
      <c r="AF96" s="23" t="str">
        <f>'2 lentelė'!T96</f>
        <v>P.B.219</v>
      </c>
      <c r="AG96" s="23" t="str">
        <f>'2 lentelė'!U96</f>
        <v>Papildomi gyventojai, kuriems teikiamos pagerintos nuotekų tvarkymo paslaugos</v>
      </c>
      <c r="AH96" s="23">
        <f>'2 lentelė'!V96</f>
        <v>404</v>
      </c>
      <c r="AI96" s="23">
        <v>404</v>
      </c>
      <c r="AJ96" s="259">
        <v>364</v>
      </c>
      <c r="AK96" s="27"/>
    </row>
    <row r="97" spans="2:37" ht="140.25" x14ac:dyDescent="0.25">
      <c r="B97" s="29" t="str">
        <f>'1 lentelė'!$B99</f>
        <v>2.2.1.1.6</v>
      </c>
      <c r="C97" s="29" t="str">
        <f>'1 lentelė'!$C99</f>
        <v>R090014-075000-2206</v>
      </c>
      <c r="D97" s="29" t="str">
        <f>'1 lentelė'!$D99</f>
        <v>Vandens tiekimo ir nuotekų tvarkymo infrastruktūros plėtra Utenos rajone (Jasonių k.)</v>
      </c>
      <c r="E97" s="29" t="s">
        <v>66</v>
      </c>
      <c r="F97" s="118" t="s">
        <v>951</v>
      </c>
      <c r="G97" s="324" t="str">
        <f>'2 lentelė'!E97</f>
        <v>P.N.050</v>
      </c>
      <c r="H97" s="26" t="str">
        <f>'2 lentelė'!F97</f>
        <v>Gyventojai, kuriems tiekiamos vandens tiekimo paslaugos naujai pastatytais tinklais (skaičius)</v>
      </c>
      <c r="I97" s="26">
        <f>'2 lentelė'!G97</f>
        <v>544</v>
      </c>
      <c r="J97" s="26">
        <v>544</v>
      </c>
      <c r="K97" s="161">
        <v>252</v>
      </c>
      <c r="L97" s="324" t="str">
        <f>'2 lentelė'!H97</f>
        <v>P.N.053</v>
      </c>
      <c r="M97" s="26" t="str">
        <f>'2 lentelė'!I97</f>
        <v>Gyventojai, kuriems tiekiamos vandens tiekimo paslaugos naujai pastatytais nuotekųsurinkimo tinklais (GE)</v>
      </c>
      <c r="N97" s="26">
        <f>'2 lentelė'!J97</f>
        <v>634</v>
      </c>
      <c r="O97" s="26">
        <v>634</v>
      </c>
      <c r="P97" s="120">
        <v>252</v>
      </c>
      <c r="Q97" s="325" t="str">
        <f>'2 lentelė'!K97</f>
        <v>P.B.218</v>
      </c>
      <c r="R97" s="23" t="str">
        <f>'2 lentelė'!L97</f>
        <v>Papildomi gyventojai, kuriems teikiamos pagerintos vandens tiekimo paslaugos</v>
      </c>
      <c r="S97" s="23">
        <f>'2 lentelė'!M97</f>
        <v>544</v>
      </c>
      <c r="T97" s="26">
        <v>544</v>
      </c>
      <c r="U97" s="120">
        <v>252</v>
      </c>
      <c r="V97" s="121" t="str">
        <f>'2 lentelė'!N97</f>
        <v>P.B.219</v>
      </c>
      <c r="W97" s="325" t="str">
        <f>'2 lentelė'!O97</f>
        <v>Papildomi gyventojai, kuriems teikiamos pagerintos nuotekų tvarkymo paslaugos</v>
      </c>
      <c r="X97" s="23">
        <f>'2 lentelė'!P97</f>
        <v>634</v>
      </c>
      <c r="Y97" s="26">
        <v>634</v>
      </c>
      <c r="Z97" s="120">
        <v>252</v>
      </c>
      <c r="AA97" s="23"/>
      <c r="AB97" s="23"/>
      <c r="AC97" s="23"/>
      <c r="AD97" s="23"/>
      <c r="AE97" s="120"/>
      <c r="AF97" s="23"/>
      <c r="AG97" s="23"/>
      <c r="AH97" s="23"/>
      <c r="AI97" s="23"/>
      <c r="AJ97" s="259"/>
      <c r="AK97" s="27"/>
    </row>
    <row r="98" spans="2:37" ht="87.75" customHeight="1" x14ac:dyDescent="0.25">
      <c r="B98" s="29" t="str">
        <f>'1 lentelė'!$B100</f>
        <v>2.2.1.1.7</v>
      </c>
      <c r="C98" s="29" t="str">
        <f>'1 lentelė'!$C100</f>
        <v>R090014-060000-2225</v>
      </c>
      <c r="D98" s="29" t="str">
        <f>'1 lentelė'!$D100</f>
        <v>Vandens tiekimo ir nuotekų tvarkymo infrastruktūros rekonstrukcija ir inventorizacija Ignalinos rajone</v>
      </c>
      <c r="E98" s="29" t="s">
        <v>66</v>
      </c>
      <c r="F98" s="118" t="s">
        <v>952</v>
      </c>
      <c r="G98" s="324" t="str">
        <f>'2 lentelė'!E98</f>
        <v>P.S.333</v>
      </c>
      <c r="H98" s="26" t="str">
        <f>'2 lentelė'!F98</f>
        <v>Rekonstruotų vandens tiekimo ir nuotekų surinkimo tinklų ilgis (km)</v>
      </c>
      <c r="I98" s="26">
        <f>'2 lentelė'!G98</f>
        <v>0.95</v>
      </c>
      <c r="J98" s="26">
        <v>0</v>
      </c>
      <c r="K98" s="161">
        <v>0</v>
      </c>
      <c r="L98" s="324"/>
      <c r="M98" s="26"/>
      <c r="N98" s="26"/>
      <c r="O98" s="26"/>
      <c r="P98" s="120"/>
      <c r="Q98" s="325"/>
      <c r="R98" s="23"/>
      <c r="S98" s="23"/>
      <c r="T98" s="26"/>
      <c r="U98" s="120"/>
      <c r="V98" s="121"/>
      <c r="W98" s="325"/>
      <c r="X98" s="23"/>
      <c r="Y98" s="26"/>
      <c r="Z98" s="120"/>
      <c r="AA98" s="23"/>
      <c r="AB98" s="23"/>
      <c r="AC98" s="23"/>
      <c r="AD98" s="23"/>
      <c r="AE98" s="120"/>
      <c r="AF98" s="23"/>
      <c r="AG98" s="23"/>
      <c r="AH98" s="23"/>
      <c r="AI98" s="23"/>
      <c r="AJ98" s="259"/>
      <c r="AK98" s="27"/>
    </row>
    <row r="99" spans="2:37" ht="165.75" x14ac:dyDescent="0.25">
      <c r="B99" s="29" t="str">
        <f>'1 lentelė'!$B101</f>
        <v>2.2.1.1.8</v>
      </c>
      <c r="C99" s="29" t="str">
        <f>'1 lentelė'!$C101</f>
        <v>R090014-075000-2226</v>
      </c>
      <c r="D99" s="29" t="str">
        <f>'1 lentelė'!$D101</f>
        <v>Vandens tiekimo ir nuotekų tvarkymo infrastruktūros plėtra Utenos rajone (Jasonių k. II etapas)</v>
      </c>
      <c r="E99" s="29" t="s">
        <v>66</v>
      </c>
      <c r="F99" s="118" t="s">
        <v>954</v>
      </c>
      <c r="G99" s="324" t="str">
        <f>'2 lentelė'!E99</f>
        <v>P.N.050</v>
      </c>
      <c r="H99" s="26" t="str">
        <f>'2 lentelė'!F99</f>
        <v>Gyventojai, kuriems teikiamos vandens tiekimo paslaugos naujai pastatytais geriamojo vandens tiekimo tinklais (skaičius)</v>
      </c>
      <c r="I99" s="26">
        <f>'2 lentelė'!G99</f>
        <v>153</v>
      </c>
      <c r="J99" s="26">
        <v>153</v>
      </c>
      <c r="K99" s="161">
        <v>34</v>
      </c>
      <c r="L99" s="324"/>
      <c r="M99" s="26"/>
      <c r="N99" s="26"/>
      <c r="O99" s="26"/>
      <c r="P99" s="120"/>
      <c r="Q99" s="325" t="str">
        <f>'2 lentelė'!K99</f>
        <v>P.N.053</v>
      </c>
      <c r="R99" s="23" t="str">
        <f>'2 lentelė'!L99</f>
        <v>Gyventojai, kuriems teikiamos paslaugos naujai pastatytais nuotekų surinkimo tinklais (GE)</v>
      </c>
      <c r="S99" s="23">
        <f>'2 lentelė'!M99</f>
        <v>153</v>
      </c>
      <c r="T99" s="26">
        <v>153</v>
      </c>
      <c r="U99" s="120">
        <v>34</v>
      </c>
      <c r="V99" s="121" t="str">
        <f>'2 lentelė'!T99</f>
        <v>P.B.219</v>
      </c>
      <c r="W99" s="325" t="str">
        <f>'2 lentelė'!U99</f>
        <v>Papildomi gyventojai, kuriems teikiamos pagerintos nuotekų tvarkymo paslaugos</v>
      </c>
      <c r="X99" s="23">
        <f>'2 lentelė'!V99</f>
        <v>153</v>
      </c>
      <c r="Y99" s="26">
        <v>153</v>
      </c>
      <c r="Z99" s="120">
        <v>34</v>
      </c>
      <c r="AA99" s="23" t="str">
        <f>'2 lentelė'!Q99</f>
        <v>P.B.218</v>
      </c>
      <c r="AB99" s="23" t="str">
        <f>'2 lentelė'!R99</f>
        <v>Papildomi gyventojai, kuriems teikiamos pagerintos vandens tiekimo paslaugos</v>
      </c>
      <c r="AC99" s="23">
        <f>'2 lentelė'!S99</f>
        <v>153</v>
      </c>
      <c r="AD99" s="23">
        <v>153</v>
      </c>
      <c r="AE99" s="120">
        <v>34</v>
      </c>
      <c r="AF99" s="23"/>
      <c r="AG99" s="23"/>
      <c r="AH99" s="23"/>
      <c r="AI99" s="23"/>
      <c r="AJ99" s="259"/>
      <c r="AK99" s="27"/>
    </row>
    <row r="100" spans="2:37" ht="165.75" x14ac:dyDescent="0.25">
      <c r="B100" s="29" t="str">
        <f>'1 lentelė'!$B102</f>
        <v>2.2.1.1.9</v>
      </c>
      <c r="C100" s="29" t="str">
        <f>'1 lentelė'!$C102</f>
        <v>R090014-070000-2227</v>
      </c>
      <c r="D100" s="29" t="str">
        <f>'1 lentelė'!$D102</f>
        <v>Vandentiekio ir nuotekų tinklų Anykščių aglomeracijoje (sodų bendrija ,,Šaltupys" ir Keblonių k.) statybos darbai.</v>
      </c>
      <c r="E100" s="29" t="s">
        <v>66</v>
      </c>
      <c r="F100" s="118" t="s">
        <v>953</v>
      </c>
      <c r="G100" s="324" t="str">
        <f>'2 lentelė'!E100</f>
        <v>P.N.050</v>
      </c>
      <c r="H100" s="26" t="str">
        <f>'2 lentelė'!F100</f>
        <v>Gyventojai, kuriems teikiamos vandens tiekimo paslaugos naujai pastatytais geriamojo vandens tiekimo tinklais (skaičius)</v>
      </c>
      <c r="I100" s="26">
        <f>'2 lentelė'!G100</f>
        <v>288</v>
      </c>
      <c r="J100" s="26">
        <v>288</v>
      </c>
      <c r="K100" s="161">
        <v>0</v>
      </c>
      <c r="L100" s="324" t="str">
        <f>'2 lentelė'!H100</f>
        <v>P.N.053</v>
      </c>
      <c r="M100" s="26" t="str">
        <f>'2 lentelė'!I100</f>
        <v>Gyventojai, kuriems teikiamos paslaugos naujai pastatytais nuotekų surinkimo tinklais (GE)</v>
      </c>
      <c r="N100" s="26">
        <f>'2 lentelė'!J100</f>
        <v>288</v>
      </c>
      <c r="O100" s="26">
        <v>288</v>
      </c>
      <c r="P100" s="120">
        <v>0</v>
      </c>
      <c r="Q100" s="325" t="str">
        <f>'2 lentelė'!K100</f>
        <v>P.B.218</v>
      </c>
      <c r="R100" s="23" t="str">
        <f>'2 lentelė'!L100</f>
        <v>Papildomi gyventojai, kuriems teikiamos pagerintos vandens tiekimo paslaugos</v>
      </c>
      <c r="S100" s="23">
        <f>'2 lentelė'!M100</f>
        <v>288</v>
      </c>
      <c r="T100" s="26">
        <v>288</v>
      </c>
      <c r="U100" s="120">
        <v>0</v>
      </c>
      <c r="V100" s="121" t="str">
        <f>'2 lentelė'!N100</f>
        <v>P.B.219</v>
      </c>
      <c r="W100" s="325" t="str">
        <f>'2 lentelė'!O100</f>
        <v>Papildomi gyventojai, kuriems teikiamos pagerintos nuotekų tvarkymo paslaugos</v>
      </c>
      <c r="X100" s="23">
        <f>'2 lentelė'!P100</f>
        <v>288</v>
      </c>
      <c r="Y100" s="26">
        <v>288</v>
      </c>
      <c r="Z100" s="120">
        <v>0</v>
      </c>
      <c r="AA100" s="23"/>
      <c r="AB100" s="23"/>
      <c r="AC100" s="23"/>
      <c r="AD100" s="23"/>
      <c r="AE100" s="120"/>
      <c r="AF100" s="23"/>
      <c r="AG100" s="23"/>
      <c r="AH100" s="23"/>
      <c r="AI100" s="23"/>
      <c r="AJ100" s="259"/>
      <c r="AK100" s="27"/>
    </row>
    <row r="101" spans="2:37" ht="178.5" x14ac:dyDescent="0.25">
      <c r="B101" s="29" t="str">
        <f>'1 lentelė'!$B103</f>
        <v>2.2.1.1.10</v>
      </c>
      <c r="C101" s="29" t="str">
        <f>'1 lentelė'!$C103</f>
        <v>R090014-070600-2228</v>
      </c>
      <c r="D101" s="29" t="str">
        <f>'1 lentelė'!$D103</f>
        <v>Vandens tiekimo ir nuotekų tvarkymo infrastruktūros plėtra ir rekonstravimas Zarasų rajono savivaldybėje (II etapas)</v>
      </c>
      <c r="E101" s="29" t="s">
        <v>66</v>
      </c>
      <c r="F101" s="118" t="s">
        <v>1449</v>
      </c>
      <c r="G101" s="324" t="str">
        <f>'2 lentelė'!E101</f>
        <v>P.N.050</v>
      </c>
      <c r="H101" s="26" t="str">
        <f>'2 lentelė'!F101</f>
        <v>Gyventojai, kuriems teikiamos vandens tiekimo paslaugos naujai pastatytais geriamojo vandens tiekimo tinklais (skaičius)</v>
      </c>
      <c r="I101" s="26">
        <f>'2 lentelė'!G101</f>
        <v>44</v>
      </c>
      <c r="J101" s="26">
        <v>44</v>
      </c>
      <c r="K101" s="161">
        <v>0</v>
      </c>
      <c r="L101" s="324" t="str">
        <f>'2 lentelė'!H101</f>
        <v>P.N.053</v>
      </c>
      <c r="M101" s="26" t="str">
        <f>'2 lentelė'!I101</f>
        <v>Gyventojai, kuriems teikiamos paslaugos naujai pastatytais nuotekų surinkimo tinklais (GE)</v>
      </c>
      <c r="N101" s="26">
        <f>'2 lentelė'!J101</f>
        <v>93</v>
      </c>
      <c r="O101" s="26">
        <v>93</v>
      </c>
      <c r="P101" s="120">
        <v>0</v>
      </c>
      <c r="Q101" s="325" t="str">
        <f>'2 lentelė'!K101</f>
        <v>P.N.054</v>
      </c>
      <c r="R101" s="23" t="str">
        <f>'2 lentelė'!L101</f>
        <v>Gyventojai, kuriems teikiamos nuotekų valymo paslaugos naujai pastatytais ir (arba) rekonstruotais nuotekų valymo įrenginiais (GE)</v>
      </c>
      <c r="S101" s="267">
        <f>'2 lentelė'!M101</f>
        <v>62</v>
      </c>
      <c r="T101" s="26">
        <v>62</v>
      </c>
      <c r="U101" s="120">
        <v>0</v>
      </c>
      <c r="V101" s="325" t="str">
        <f>'2 lentelė'!N101</f>
        <v>P.B.218</v>
      </c>
      <c r="W101" s="23" t="str">
        <f>'2 lentelė'!O101</f>
        <v>Papildomi gyventojai, kuriems teikiamos pagerintos vandens tiekimo paslaugos</v>
      </c>
      <c r="X101" s="267">
        <f>'2 lentelė'!P101</f>
        <v>44</v>
      </c>
      <c r="Y101" s="26">
        <v>44</v>
      </c>
      <c r="Z101" s="120">
        <v>0</v>
      </c>
      <c r="AA101" s="23" t="str">
        <f>'2 lentelė'!Q101</f>
        <v>P.B.219</v>
      </c>
      <c r="AB101" s="23" t="str">
        <f>'2 lentelė'!R101</f>
        <v>Papildomi gyventojai, kuriems teikiamos pagerintos nuotekų tvarkymo paslaugos</v>
      </c>
      <c r="AC101" s="23">
        <f>'2 lentelė'!S101</f>
        <v>155</v>
      </c>
      <c r="AD101" s="23">
        <v>155</v>
      </c>
      <c r="AE101" s="120">
        <v>0</v>
      </c>
      <c r="AF101" s="23"/>
      <c r="AG101" s="23"/>
      <c r="AH101" s="23"/>
      <c r="AI101" s="23"/>
      <c r="AJ101" s="259"/>
      <c r="AK101" s="27"/>
    </row>
    <row r="102" spans="2:37" ht="165.75" x14ac:dyDescent="0.25">
      <c r="B102" s="29" t="str">
        <f>'1 lentelė'!$B104</f>
        <v>2.2.1.1.11</v>
      </c>
      <c r="C102" s="29" t="str">
        <f>'1 lentelė'!$C104</f>
        <v>R090014-070600-2229</v>
      </c>
      <c r="D102" s="29" t="str">
        <f>'1 lentelė'!$D104</f>
        <v>Vandens tiekimo ir nuotekų tvarkymo infrastruktūros plėtra ir rekonstrukcija Molėtų rajone (II etapas)</v>
      </c>
      <c r="E102" s="29" t="s">
        <v>66</v>
      </c>
      <c r="F102" s="118" t="s">
        <v>1450</v>
      </c>
      <c r="G102" s="324" t="str">
        <f>'2 lentelė'!E102</f>
        <v>P.N.050</v>
      </c>
      <c r="H102" s="26" t="str">
        <f>'2 lentelė'!F102</f>
        <v>Gyventojai, kuriems teikiamos vandens tiekimo paslaugos naujai pastatytais geriamojo vandens tiekimo tinklais (skaičius)</v>
      </c>
      <c r="I102" s="26">
        <f>'2 lentelė'!G102</f>
        <v>32</v>
      </c>
      <c r="J102" s="26">
        <v>32</v>
      </c>
      <c r="K102" s="161">
        <v>0</v>
      </c>
      <c r="L102" s="324" t="str">
        <f>'2 lentelė'!H102</f>
        <v>P.N.053</v>
      </c>
      <c r="M102" s="26" t="str">
        <f>'2 lentelė'!I102</f>
        <v>Gyventojai, kuriems teikiamos paslaugos naujai pastatytais nuotekų surinkimo tinklais (GE)</v>
      </c>
      <c r="N102" s="26">
        <f>'2 lentelė'!J102</f>
        <v>107</v>
      </c>
      <c r="O102" s="26">
        <v>107</v>
      </c>
      <c r="P102" s="120">
        <v>0</v>
      </c>
      <c r="Q102" s="325" t="str">
        <f>'2 lentelė'!K102</f>
        <v>P.S.333</v>
      </c>
      <c r="R102" s="23" t="str">
        <f>'2 lentelė'!L102</f>
        <v>Rekonstruotų vandens tiekimo ir nuotekų surinkimo tinklų ilgis (km)</v>
      </c>
      <c r="S102" s="267">
        <f>'2 lentelė'!M102</f>
        <v>0.1</v>
      </c>
      <c r="T102" s="26">
        <v>0.1</v>
      </c>
      <c r="U102" s="120">
        <v>0</v>
      </c>
      <c r="V102" s="325" t="str">
        <f>'2 lentelė'!N102</f>
        <v>P.B.219</v>
      </c>
      <c r="W102" s="23" t="str">
        <f>'2 lentelė'!O102</f>
        <v>Papildomi gyventojai, kuriems teikiamos pagerintos nuotekų tvarkymo paslaugos</v>
      </c>
      <c r="X102" s="267">
        <f>'2 lentelė'!P102</f>
        <v>107</v>
      </c>
      <c r="Y102" s="26">
        <v>107</v>
      </c>
      <c r="Z102" s="120">
        <v>0</v>
      </c>
      <c r="AA102" s="23" t="str">
        <f>'2 lentelė'!Q102</f>
        <v>P.B.218</v>
      </c>
      <c r="AB102" s="23" t="str">
        <f>'2 lentelė'!R102</f>
        <v>Papildomi gyventojai, kuriems teikiamos pagerintos vandens tiekimo paslaugos</v>
      </c>
      <c r="AC102" s="23">
        <f>'2 lentelė'!S102</f>
        <v>32</v>
      </c>
      <c r="AD102" s="23">
        <v>32</v>
      </c>
      <c r="AE102" s="120">
        <v>0</v>
      </c>
      <c r="AF102" s="23"/>
      <c r="AG102" s="23"/>
      <c r="AH102" s="23"/>
      <c r="AI102" s="23"/>
      <c r="AJ102" s="259"/>
      <c r="AK102" s="27"/>
    </row>
    <row r="103" spans="2:37" ht="58.5" customHeight="1" x14ac:dyDescent="0.25">
      <c r="B103" s="53" t="str">
        <f>'1 lentelė'!$B105</f>
        <v>2.2.1.2</v>
      </c>
      <c r="C103" s="53"/>
      <c r="D103" s="77" t="str">
        <f>'1 lentelė'!$D105</f>
        <v>Priemonė: Paviršinių nuotekų sistemų tvarkymas</v>
      </c>
      <c r="E103" s="53"/>
      <c r="F103" s="151"/>
      <c r="G103" s="53"/>
      <c r="H103" s="53"/>
      <c r="I103" s="53"/>
      <c r="J103" s="53"/>
      <c r="K103" s="151"/>
      <c r="L103" s="53"/>
      <c r="M103" s="53"/>
      <c r="N103" s="53"/>
      <c r="O103" s="53"/>
      <c r="P103" s="151"/>
      <c r="Q103" s="53"/>
      <c r="R103" s="53"/>
      <c r="S103" s="53"/>
      <c r="T103" s="53"/>
      <c r="U103" s="151"/>
      <c r="V103" s="53"/>
      <c r="W103" s="53"/>
      <c r="X103" s="53"/>
      <c r="Y103" s="53"/>
      <c r="Z103" s="151"/>
      <c r="AA103" s="53"/>
      <c r="AB103" s="53"/>
      <c r="AC103" s="53"/>
      <c r="AD103" s="53"/>
      <c r="AE103" s="151"/>
      <c r="AF103" s="53"/>
      <c r="AG103" s="53"/>
      <c r="AH103" s="53"/>
      <c r="AI103" s="53"/>
      <c r="AJ103" s="151"/>
      <c r="AK103" s="27"/>
    </row>
    <row r="104" spans="2:37" ht="154.5" customHeight="1" x14ac:dyDescent="0.25">
      <c r="B104" s="29" t="str">
        <f>'1 lentelė'!$B106</f>
        <v>2.2.1.2.1</v>
      </c>
      <c r="C104" s="29" t="str">
        <f>'1 lentelė'!$C106</f>
        <v>R090007-080000-2207</v>
      </c>
      <c r="D104" s="29" t="str">
        <f>'1 lentelė'!$D106</f>
        <v>Paviršinių nuotekų tinklų ir jiems priklausančios infrastruktūros rekonstrukcija ir plėtra Utenos mieste</v>
      </c>
      <c r="E104" s="29" t="s">
        <v>66</v>
      </c>
      <c r="F104" s="154" t="s">
        <v>955</v>
      </c>
      <c r="G104" s="119" t="str">
        <f>'2 lentelė'!E104</f>
        <v>P.S.328</v>
      </c>
      <c r="H104" s="119" t="str">
        <f>'2 lentelė'!F104</f>
        <v>Lietaus nuotėkio plotas, iš kurio surenkamam paviršiniam (lietaus) vandeniui tvarkyti įrengta ir (ar) rekonstruota infrastruktūra, ha</v>
      </c>
      <c r="I104" s="119">
        <f>'2 lentelė'!G104</f>
        <v>52.58</v>
      </c>
      <c r="J104" s="119">
        <v>52.58</v>
      </c>
      <c r="K104" s="119">
        <v>53.46</v>
      </c>
      <c r="L104" s="119" t="str">
        <f>'2 lentelė'!H104</f>
        <v>P.N.028</v>
      </c>
      <c r="M104" s="119" t="str">
        <f>'2 lentelė'!I104</f>
        <v>Inventorizuota neapskaityto paviršinių nuotekų nuotakyno dalis, proc.</v>
      </c>
      <c r="N104" s="119">
        <f>'2 lentelė'!J104</f>
        <v>20.25</v>
      </c>
      <c r="O104" s="119">
        <v>20.25</v>
      </c>
      <c r="P104" s="148">
        <v>19.899999999999999</v>
      </c>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156" customHeight="1" x14ac:dyDescent="0.25">
      <c r="B105" s="29" t="str">
        <f>'1 lentelė'!$B107</f>
        <v>2.2.1.2.2</v>
      </c>
      <c r="C105" s="29" t="str">
        <f>'1 lentelė'!$C107</f>
        <v>R090007-080000-2208</v>
      </c>
      <c r="D105" s="29" t="str">
        <f>'1 lentelė'!$D107</f>
        <v>Inžinerinių paviršinių nuotekų surinkimo ir šalinimo tinklų rekonstravimas Visagino g. atkarpoje nuo Parko iki Vilties g.</v>
      </c>
      <c r="E105" s="29" t="s">
        <v>65</v>
      </c>
      <c r="F105" s="154" t="s">
        <v>956</v>
      </c>
      <c r="G105" s="119" t="str">
        <f>'2 lentelė'!E105</f>
        <v>P.S.328</v>
      </c>
      <c r="H105" s="119" t="str">
        <f>'2 lentelė'!F105</f>
        <v>Lietaus nuotėkio plotas, iš kurio surenkamam paviršiniam (lietaus) vandeniui tvarkyti, įrengta ir (ar) rekonstruota infrastruktūra, ha</v>
      </c>
      <c r="I105" s="119">
        <f>'2 lentelė'!G105</f>
        <v>71.92</v>
      </c>
      <c r="J105" s="119">
        <v>71.92</v>
      </c>
      <c r="K105" s="119">
        <v>78.56</v>
      </c>
      <c r="L105" s="119"/>
      <c r="M105" s="26"/>
      <c r="N105" s="26"/>
      <c r="O105" s="52"/>
      <c r="P105" s="148"/>
      <c r="Q105" s="121"/>
      <c r="R105" s="23"/>
      <c r="S105" s="23"/>
      <c r="T105" s="52"/>
      <c r="U105" s="148"/>
      <c r="V105" s="123"/>
      <c r="W105" s="31"/>
      <c r="X105" s="23"/>
      <c r="Y105" s="26"/>
      <c r="Z105" s="120"/>
      <c r="AA105" s="124"/>
      <c r="AB105" s="48"/>
      <c r="AC105" s="48"/>
      <c r="AD105" s="66"/>
      <c r="AE105" s="150"/>
      <c r="AF105" s="124"/>
      <c r="AG105" s="48"/>
      <c r="AH105" s="48"/>
      <c r="AI105" s="66"/>
      <c r="AJ105" s="150"/>
      <c r="AK105" s="27"/>
    </row>
    <row r="106" spans="2:37" ht="80.25" customHeight="1" x14ac:dyDescent="0.25">
      <c r="B106" s="21" t="str">
        <f>'1 lentelė'!$B108</f>
        <v>2.2.1.3</v>
      </c>
      <c r="C106" s="21"/>
      <c r="D106" s="75" t="str">
        <f>'1 lentelė'!$D108</f>
        <v>Priemonė: Komunalinių atliekų tvarkymo infrastruktūros plėtra</v>
      </c>
      <c r="E106" s="21"/>
      <c r="F106" s="117"/>
      <c r="G106" s="21"/>
      <c r="H106" s="21"/>
      <c r="I106" s="21"/>
      <c r="J106" s="21"/>
      <c r="K106" s="117"/>
      <c r="L106" s="21"/>
      <c r="M106" s="21"/>
      <c r="N106" s="21"/>
      <c r="O106" s="21"/>
      <c r="P106" s="117"/>
      <c r="Q106" s="21"/>
      <c r="R106" s="21"/>
      <c r="S106" s="21"/>
      <c r="T106" s="21"/>
      <c r="U106" s="117"/>
      <c r="V106" s="21"/>
      <c r="W106" s="21"/>
      <c r="X106" s="21"/>
      <c r="Y106" s="21"/>
      <c r="Z106" s="117"/>
      <c r="AA106" s="21"/>
      <c r="AB106" s="21"/>
      <c r="AC106" s="21"/>
      <c r="AD106" s="21"/>
      <c r="AE106" s="117"/>
      <c r="AF106" s="21"/>
      <c r="AG106" s="21"/>
      <c r="AH106" s="21"/>
      <c r="AI106" s="21"/>
      <c r="AJ106" s="117"/>
      <c r="AK106" s="27"/>
    </row>
    <row r="107" spans="2:37" ht="103.5" customHeight="1" x14ac:dyDescent="0.25">
      <c r="B107" s="29" t="str">
        <f>'1 lentelė'!$B109</f>
        <v>2.2.1.3.1</v>
      </c>
      <c r="C107" s="29" t="str">
        <f>'1 lentelė'!$C109</f>
        <v>R090008-050000-2209</v>
      </c>
      <c r="D107" s="29" t="str">
        <f>'1 lentelė'!$D109</f>
        <v>Komunalinių atliekų tvarkymo infrastruktūros plėtra Visagino savivaldybėje</v>
      </c>
      <c r="E107" s="29" t="s">
        <v>66</v>
      </c>
      <c r="F107" s="154" t="s">
        <v>957</v>
      </c>
      <c r="G107" s="324" t="str">
        <f>'2 lentelė'!E107</f>
        <v>P.S.329</v>
      </c>
      <c r="H107" s="26" t="str">
        <f>'2 lentelė'!F107</f>
        <v>Sukurti /pagerinti atskiro komunalinių atliekų surinkimo pajėgumai (tonos/metai)</v>
      </c>
      <c r="I107" s="161">
        <f>'2 lentelė'!G107</f>
        <v>1105.32</v>
      </c>
      <c r="J107" s="26">
        <v>1185.6500000000001</v>
      </c>
      <c r="K107" s="120">
        <v>0</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144.75" customHeight="1" x14ac:dyDescent="0.25">
      <c r="B108" s="29" t="str">
        <f>'1 lentelė'!$B110</f>
        <v>2.2.1.3.2</v>
      </c>
      <c r="C108" s="29" t="str">
        <f>'1 lentelė'!$C110</f>
        <v>R090008-050000-2210</v>
      </c>
      <c r="D108" s="29" t="str">
        <f>'1 lentelė'!$D110</f>
        <v>Konteinerinių aikštelių įrengimas ( rekonstrukcija) Ignalinos r. savivaldybėje ir atliekų surinkimo konteinerių konteinerinėms aikštelėms įsigijimas</v>
      </c>
      <c r="E108" s="29" t="s">
        <v>66</v>
      </c>
      <c r="F108" s="154" t="s">
        <v>958</v>
      </c>
      <c r="G108" s="324" t="str">
        <f>'2 lentelė'!E108</f>
        <v>P.S.329</v>
      </c>
      <c r="H108" s="26" t="str">
        <f>'2 lentelė'!F108</f>
        <v>Sukurti/ pagerinti atskiro komunalinių atliekų surinkimo pajėgumai (tonos/metai)</v>
      </c>
      <c r="I108" s="161">
        <f>'2 lentelė'!G108</f>
        <v>729</v>
      </c>
      <c r="J108" s="26">
        <v>729</v>
      </c>
      <c r="K108" s="120">
        <v>0</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0" customHeight="1" x14ac:dyDescent="0.25">
      <c r="B109" s="29" t="str">
        <f>'1 lentelė'!$B111</f>
        <v>2.2.1.3.3</v>
      </c>
      <c r="C109" s="29" t="str">
        <f>'1 lentelė'!$C111</f>
        <v>R090008-050000-2211</v>
      </c>
      <c r="D109" s="29" t="str">
        <f>'1 lentelė'!$D111</f>
        <v>Komunalinių atliekų tvarkymo infrastruktūros plėtra Anykščių rajono savivaldybėje</v>
      </c>
      <c r="E109" s="29" t="s">
        <v>66</v>
      </c>
      <c r="F109" s="154" t="s">
        <v>959</v>
      </c>
      <c r="G109" s="324" t="str">
        <f>'2 lentelė'!E109</f>
        <v>P.S.329</v>
      </c>
      <c r="H109" s="26" t="str">
        <f>'2 lentelė'!F109</f>
        <v>Sukurti /pagerinti atskiro komunalinių atliekų surinkimo pajėgumai</v>
      </c>
      <c r="I109" s="161">
        <f>'2 lentelė'!G109</f>
        <v>2553.5</v>
      </c>
      <c r="J109" s="26">
        <v>2553.5</v>
      </c>
      <c r="K109" s="120">
        <v>2553.5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89.25" x14ac:dyDescent="0.25">
      <c r="B110" s="29" t="str">
        <f>'1 lentelė'!$B112</f>
        <v>2.2.1.3.4</v>
      </c>
      <c r="C110" s="29" t="str">
        <f>'1 lentelė'!$C112</f>
        <v>R090008-050000-2212</v>
      </c>
      <c r="D110" s="29" t="str">
        <f>'1 lentelė'!$D112</f>
        <v>Molėtų rajono komunalinių atliekų tvarkymo infrastruktūros plėtra</v>
      </c>
      <c r="E110" s="29" t="s">
        <v>66</v>
      </c>
      <c r="F110" s="154" t="s">
        <v>960</v>
      </c>
      <c r="G110" s="324" t="str">
        <f>'2 lentelė'!E110</f>
        <v>P.S.329</v>
      </c>
      <c r="H110" s="26" t="str">
        <f>'2 lentelė'!F110</f>
        <v>Sukurti /pagerinti atskiro komunalinių atliekų surinkimo pajėgumai</v>
      </c>
      <c r="I110" s="161">
        <f>'2 lentelė'!G110</f>
        <v>2248.75</v>
      </c>
      <c r="J110" s="52">
        <v>984</v>
      </c>
      <c r="K110" s="272">
        <v>2248.75</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102" x14ac:dyDescent="0.25">
      <c r="B111" s="29" t="str">
        <f>'1 lentelė'!$B113</f>
        <v>2.2.1.3.5</v>
      </c>
      <c r="C111" s="29" t="str">
        <f>'1 lentelė'!$C113</f>
        <v>R090008-050000-2213</v>
      </c>
      <c r="D111" s="29" t="str">
        <f>'1 lentelė'!$D113</f>
        <v>Komunalinių atliekų tvarkymo infrastruktūros plėtra Zarasų rajone</v>
      </c>
      <c r="E111" s="29" t="s">
        <v>66</v>
      </c>
      <c r="F111" s="154" t="s">
        <v>961</v>
      </c>
      <c r="G111" s="324" t="str">
        <f>'2 lentelė'!E111</f>
        <v>P.S.329</v>
      </c>
      <c r="H111" s="26" t="str">
        <f>'2 lentelė'!F111</f>
        <v>Sukurti /pagerinti atskiro komunalinių atliekų surinkimo pajėgumai (tonos/metai)</v>
      </c>
      <c r="I111" s="161">
        <f>'2 lentelė'!G111</f>
        <v>1213.93</v>
      </c>
      <c r="J111" s="26">
        <v>1213.93</v>
      </c>
      <c r="K111" s="120">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89.25" x14ac:dyDescent="0.25">
      <c r="B112" s="29" t="str">
        <f>'1 lentelė'!$B114</f>
        <v>2.2.1.3.6</v>
      </c>
      <c r="C112" s="29" t="str">
        <f>'1 lentelė'!$C114</f>
        <v>R090008-050000-2214</v>
      </c>
      <c r="D112" s="29" t="str">
        <f>'1 lentelė'!$D114</f>
        <v>Komunalinių atliekų tvarkymo infrastruktūros plėtra Utenos rajone</v>
      </c>
      <c r="E112" s="29" t="s">
        <v>66</v>
      </c>
      <c r="F112" s="154" t="s">
        <v>962</v>
      </c>
      <c r="G112" s="324" t="str">
        <f>'2 lentelė'!E112</f>
        <v>P.S.329</v>
      </c>
      <c r="H112" s="26" t="str">
        <f>'2 lentelė'!F112</f>
        <v>Sukurti/pagerinti atskiro komunalinių atliekų surinkimo pajėgumai (tonos/ metai)</v>
      </c>
      <c r="I112" s="161">
        <f>'2 lentelė'!G112</f>
        <v>3064.6</v>
      </c>
      <c r="J112" s="52">
        <v>3064.6</v>
      </c>
      <c r="K112" s="148">
        <v>0</v>
      </c>
      <c r="L112" s="119"/>
      <c r="M112" s="26"/>
      <c r="N112" s="26"/>
      <c r="O112" s="52"/>
      <c r="P112" s="148"/>
      <c r="Q112" s="121"/>
      <c r="R112" s="23"/>
      <c r="S112" s="23"/>
      <c r="T112" s="52"/>
      <c r="U112" s="148"/>
      <c r="V112" s="123"/>
      <c r="W112" s="31"/>
      <c r="X112" s="23"/>
      <c r="Y112" s="26"/>
      <c r="Z112" s="120"/>
      <c r="AA112" s="124"/>
      <c r="AB112" s="48"/>
      <c r="AC112" s="48"/>
      <c r="AD112" s="66"/>
      <c r="AE112" s="150"/>
      <c r="AF112" s="124"/>
      <c r="AG112" s="48"/>
      <c r="AH112" s="48"/>
      <c r="AI112" s="66"/>
      <c r="AJ112" s="150"/>
      <c r="AK112" s="27"/>
    </row>
    <row r="113" spans="2:37" ht="40.5" x14ac:dyDescent="0.25">
      <c r="B113" s="53" t="str">
        <f>'1 lentelė'!$B116</f>
        <v>2.2.2.1</v>
      </c>
      <c r="C113" s="53"/>
      <c r="D113" s="77" t="str">
        <f>'1 lentelė'!$D116</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25">
      <c r="B114" s="29" t="str">
        <f>'1 lentelė'!$B117</f>
        <v>2.2.2.1.1</v>
      </c>
      <c r="C114" s="29" t="str">
        <f>'1 lentelė'!$C117</f>
        <v>R090019-380000-2215</v>
      </c>
      <c r="D114" s="29" t="str">
        <f>'1 lentelė'!$D117</f>
        <v>Zarasų rajono savivaldybės bendrųjų planų koregavimas</v>
      </c>
      <c r="E114" s="29" t="s">
        <v>66</v>
      </c>
      <c r="F114" s="154" t="s">
        <v>963</v>
      </c>
      <c r="G114" s="324" t="str">
        <f>'2 lentelė'!E115</f>
        <v>P.N.092</v>
      </c>
      <c r="H114" s="26" t="str">
        <f>'2 lentelė'!F115</f>
        <v xml:space="preserve">Kraštovaizdžio ir (ar) gamtinio karkaso formavimo aspektais pakeisti ar pakoreguoti savivaldybių ar jų dalių bendrieji planai </v>
      </c>
      <c r="I114" s="161">
        <f>'2 lentelė'!G115</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25">
      <c r="B115" s="29" t="str">
        <f>'1 lentelė'!$B118</f>
        <v>2.2.2.1.2</v>
      </c>
      <c r="C115" s="29" t="str">
        <f>'1 lentelė'!$C118</f>
        <v>R090019-380000-2216</v>
      </c>
      <c r="D115" s="29" t="str">
        <f>'1 lentelė'!$D118</f>
        <v>Bešeimininkių apleistų, kraštovaizdį darkančių statinių likvidavimas Molėtų rajono savivaldybėje</v>
      </c>
      <c r="E115" s="29" t="s">
        <v>66</v>
      </c>
      <c r="F115" s="154" t="s">
        <v>964</v>
      </c>
      <c r="G115" s="324" t="str">
        <f>'2 lentelė'!E116</f>
        <v>P.N.093</v>
      </c>
      <c r="H115" s="26" t="str">
        <f>'2 lentelė'!F116</f>
        <v>Likviduoti kraštovaizdį darkantys bešeimininkiai apleisti statiniai ir įrenginiai</v>
      </c>
      <c r="I115" s="161">
        <f>'2 lentelė'!G116</f>
        <v>36</v>
      </c>
      <c r="J115" s="26">
        <v>36</v>
      </c>
      <c r="K115" s="120">
        <v>36</v>
      </c>
      <c r="L115" s="324" t="str">
        <f>'2 lentelė'!H116</f>
        <v>R.N.091</v>
      </c>
      <c r="M115" s="26" t="str">
        <f>'2 lentelė'!I116</f>
        <v>Teritorijų, kuriose įgyvendintos kraštovaizdžio formavimo priemonės, plotas, ha</v>
      </c>
      <c r="N115" s="161">
        <f>'2 lentelė'!J116</f>
        <v>2.98</v>
      </c>
      <c r="O115" s="26">
        <v>2.98</v>
      </c>
      <c r="P115" s="120">
        <v>2.98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13.25" customHeight="1" x14ac:dyDescent="0.25">
      <c r="B116" s="29" t="str">
        <f>'1 lentelė'!$B119</f>
        <v>2.2.2.1.3</v>
      </c>
      <c r="C116" s="29" t="str">
        <f>'1 lentelė'!$C119</f>
        <v>R090019-380000-2217</v>
      </c>
      <c r="D116" s="29" t="str">
        <f>'1 lentelė'!$D119</f>
        <v>Kraštovaizdžio formavimas ir ekologinės būklės gerinimas Zarasų rajone</v>
      </c>
      <c r="E116" s="29" t="s">
        <v>66</v>
      </c>
      <c r="F116" s="154" t="s">
        <v>965</v>
      </c>
      <c r="G116" s="324" t="str">
        <f>'2 lentelė'!E117</f>
        <v>P.S.338</v>
      </c>
      <c r="H116" s="26" t="str">
        <f>'2 lentelė'!F117</f>
        <v>Išsaugotų, sutvarkytų ar atkurtų įvairaus teritorinio lygmens kraštovaizdžio arealų, skaičius</v>
      </c>
      <c r="I116" s="161">
        <f>'2 lentelė'!G117</f>
        <v>3</v>
      </c>
      <c r="J116" s="52">
        <v>3</v>
      </c>
      <c r="K116" s="148">
        <v>0</v>
      </c>
      <c r="L116" s="324" t="str">
        <f>'2 lentelė'!H117</f>
        <v>R.N.091</v>
      </c>
      <c r="M116" s="26" t="str">
        <f>'2 lentelė'!I117</f>
        <v>Teritorijų, kuriose įgyvendintos kraštovaizdžio formavimo priemonės, plotas, ha</v>
      </c>
      <c r="N116" s="161">
        <f>'2 lentelė'!J117</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2" x14ac:dyDescent="0.25">
      <c r="B117" s="29" t="str">
        <f>'1 lentelė'!$B120</f>
        <v>2.2.2.1.4</v>
      </c>
      <c r="C117" s="29" t="str">
        <f>'1 lentelė'!$C120</f>
        <v>R090019-380000-2218</v>
      </c>
      <c r="D117" s="29" t="str">
        <f>'1 lentelė'!$D120</f>
        <v>Želdynų teritorijos formavimas ir kraštovaizdžio būklės gerinimas Utenos mieste</v>
      </c>
      <c r="E117" s="29" t="s">
        <v>66</v>
      </c>
      <c r="F117" s="154" t="s">
        <v>966</v>
      </c>
      <c r="G117" s="324" t="str">
        <f>'2 lentelė'!E118</f>
        <v>P.S.338</v>
      </c>
      <c r="H117" s="26" t="str">
        <f>'2 lentelė'!F118</f>
        <v>Išsaugoti, sutvarkyti ar atkurti įvairaus teritorinio lygmens kraštovaizdžio arealai</v>
      </c>
      <c r="I117" s="161">
        <f>'2 lentelė'!G118</f>
        <v>1</v>
      </c>
      <c r="J117" s="52">
        <v>1</v>
      </c>
      <c r="K117" s="148">
        <v>0</v>
      </c>
      <c r="L117" s="324" t="str">
        <f>'2 lentelė'!H118</f>
        <v>R.N.091</v>
      </c>
      <c r="M117" s="26" t="str">
        <f>'2 lentelė'!I118</f>
        <v>Teritorijų, kuriose įgyvendintos kraštovaizdžio formavimo priemonės, plotas, ha</v>
      </c>
      <c r="N117" s="161">
        <f>'2 lentelė'!J118</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25">
      <c r="B118" s="29" t="str">
        <f>'1 lentelė'!$B121</f>
        <v>2.2.2.1.5</v>
      </c>
      <c r="C118" s="29" t="str">
        <f>'1 lentelė'!$C121</f>
        <v>R090019-380000-2219</v>
      </c>
      <c r="D118" s="29" t="str">
        <f>'1 lentelė'!$D121</f>
        <v>,,Anykščių rajono kraštovaizdžio estetinio potencialo didinimas likviduojant bešeimininkius  kraštovaizdį darkančius statinius“</v>
      </c>
      <c r="E118" s="29" t="s">
        <v>66</v>
      </c>
      <c r="F118" s="154" t="s">
        <v>967</v>
      </c>
      <c r="G118" s="324" t="str">
        <f>'2 lentelė'!E119</f>
        <v>P.N.093</v>
      </c>
      <c r="H118" s="26" t="str">
        <f>'2 lentelė'!F119</f>
        <v>Likviduoti kraštovaizdį darkantys bešeimininkiai apleisti statiniai ir įrenginiai, vnt.</v>
      </c>
      <c r="I118" s="161">
        <f>'2 lentelė'!G119</f>
        <v>68</v>
      </c>
      <c r="J118" s="26">
        <v>68</v>
      </c>
      <c r="K118" s="26">
        <v>68</v>
      </c>
      <c r="L118" s="324" t="str">
        <f>'2 lentelė'!H119</f>
        <v>R.N.091</v>
      </c>
      <c r="M118" s="26" t="str">
        <f>'2 lentelė'!I119</f>
        <v>Teritorijų, kuriose įgyvendintos kraštovaizdžio formavimo priemonės, plotas, ha</v>
      </c>
      <c r="N118" s="161">
        <f>'2 lentelė'!J119</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00.5" customHeight="1" x14ac:dyDescent="0.25">
      <c r="B119" s="29" t="str">
        <f>'1 lentelė'!$B122</f>
        <v>2.2.2.1.6</v>
      </c>
      <c r="C119" s="29" t="str">
        <f>'1 lentelė'!$C122</f>
        <v>R090019-380000-2220</v>
      </c>
      <c r="D119" s="29" t="str">
        <f>'1 lentelė'!$D122</f>
        <v>Kraštovaizdžio formavimas ir ekologinės būklės gerinimas Anykščių rajono savivaldybėje</v>
      </c>
      <c r="E119" s="29" t="s">
        <v>66</v>
      </c>
      <c r="F119" s="118" t="s">
        <v>968</v>
      </c>
      <c r="G119" s="324" t="str">
        <f>'2 lentelė'!E120</f>
        <v>R.N.091</v>
      </c>
      <c r="H119" s="26" t="str">
        <f>'2 lentelė'!F120</f>
        <v>Teritorijų, kuriose įgyvendintos kraštovaizdžio formavimo priemonės, plotas, ha</v>
      </c>
      <c r="I119" s="161">
        <f>'2 lentelė'!G120</f>
        <v>3.04</v>
      </c>
      <c r="J119" s="47">
        <v>3.04</v>
      </c>
      <c r="K119" s="141">
        <v>3.04</v>
      </c>
      <c r="L119" s="324" t="str">
        <f>'2 lentelė'!H120</f>
        <v>P.N.093</v>
      </c>
      <c r="M119" s="26" t="str">
        <f>'2 lentelė'!I120</f>
        <v>Likviduoti kraštovaizdį darkantys bešeimininkiai apleisti statiniai ir įrenginiai</v>
      </c>
      <c r="N119" s="161">
        <f>'2 lentelė'!J120</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32.75" customHeight="1" x14ac:dyDescent="0.25">
      <c r="B120" s="29" t="str">
        <f>'1 lentelė'!$B123</f>
        <v>2.2.2.1.7</v>
      </c>
      <c r="C120" s="29" t="str">
        <f>'1 lentelė'!$C123</f>
        <v>R090019-380000-2221</v>
      </c>
      <c r="D120" s="29" t="str">
        <f>'1 lentelė'!$D123</f>
        <v>Visagino miesto kraštovaizdžio formavimas, ekologinės būklės gerinimas ir želdynų tvarkymas (kūrimas) gamtinio karkaso teritorijose</v>
      </c>
      <c r="E120" s="29" t="s">
        <v>66</v>
      </c>
      <c r="F120" s="154" t="s">
        <v>969</v>
      </c>
      <c r="G120" s="324" t="str">
        <f>'2 lentelė'!E121</f>
        <v>P.S.338</v>
      </c>
      <c r="H120" s="26" t="str">
        <f>'2 lentelė'!F121</f>
        <v>Išsaugoti, sutvarkyti ar atkurti įvairaus teritorinio lygmens kraštovaizdžio arealai</v>
      </c>
      <c r="I120" s="161">
        <f>'2 lentelė'!G121</f>
        <v>1</v>
      </c>
      <c r="J120" s="52">
        <v>1</v>
      </c>
      <c r="K120" s="148">
        <v>0</v>
      </c>
      <c r="L120" s="324" t="str">
        <f>'2 lentelė'!H121</f>
        <v>R.N.091</v>
      </c>
      <c r="M120" s="26" t="str">
        <f>'2 lentelė'!I121</f>
        <v>Teritorijų, kuriose įgyvendintos kraštovaizdžio formavimo priemonės, plotas, ha</v>
      </c>
      <c r="N120" s="161">
        <f>'2 lentelė'!J121</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25">
      <c r="B121" s="29" t="str">
        <f>'1 lentelė'!$B124</f>
        <v>2.2.2.1.8</v>
      </c>
      <c r="C121" s="29" t="str">
        <f>'1 lentelė'!$C124</f>
        <v>R090019-380000-2222</v>
      </c>
      <c r="D121" s="29" t="str">
        <f>'1 lentelė'!$D124</f>
        <v>Utenos rajono kraštovaizdžio estetinio potencialo didinimas likviduojant bešeimininkius apleistus, kraštovaizdį darkančius statinius</v>
      </c>
      <c r="E121" s="29" t="s">
        <v>66</v>
      </c>
      <c r="F121" s="154" t="s">
        <v>970</v>
      </c>
      <c r="G121" s="324" t="str">
        <f>'2 lentelė'!E122</f>
        <v>P.N.093</v>
      </c>
      <c r="H121" s="26" t="str">
        <f>'2 lentelė'!F122</f>
        <v>Likviduoti kraštovaizdį darkantys bešeimininkiai apleisti statiniai ir įrenginiai</v>
      </c>
      <c r="I121" s="161">
        <f>'2 lentelė'!G122</f>
        <v>7</v>
      </c>
      <c r="J121" s="26">
        <v>7</v>
      </c>
      <c r="K121" s="120">
        <v>2</v>
      </c>
      <c r="L121" s="324" t="str">
        <f>'2 lentelė'!H122</f>
        <v>R.N.091</v>
      </c>
      <c r="M121" s="26" t="str">
        <f>'2 lentelė'!I122</f>
        <v>Teritorijų, kuriose įgyvendintos kraštovaizdžio formavimo priemonės, plotas, ha</v>
      </c>
      <c r="N121" s="161">
        <f>'2 lentelė'!J122</f>
        <v>0.61</v>
      </c>
      <c r="O121" s="26">
        <v>0.61</v>
      </c>
      <c r="P121" s="120">
        <v>0.11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3" x14ac:dyDescent="0.25">
      <c r="B122" s="29" t="str">
        <f>'1 lentelė'!$B125</f>
        <v>2.2.2.1.9</v>
      </c>
      <c r="C122" s="29" t="str">
        <f>'1 lentelė'!$C125</f>
        <v>R090019-380000-2223</v>
      </c>
      <c r="D122" s="29" t="str">
        <f>'1 lentelė'!$D125</f>
        <v xml:space="preserve">Kraštovaizdžio planavimas, tvarkymas ir būklės gerinimas Molėtų rajone </v>
      </c>
      <c r="E122" s="29" t="s">
        <v>66</v>
      </c>
      <c r="F122" s="154" t="s">
        <v>971</v>
      </c>
      <c r="G122" s="324" t="str">
        <f>'2 lentelė'!E123</f>
        <v>P.N.093</v>
      </c>
      <c r="H122" s="26" t="str">
        <f>'2 lentelė'!F123</f>
        <v>Likviduoti kraštovaizdį darkantys bešeimininkiai apleisti statiniai ir įrenginiai</v>
      </c>
      <c r="I122" s="161">
        <f>'2 lentelė'!G123</f>
        <v>35</v>
      </c>
      <c r="J122" s="26">
        <v>35</v>
      </c>
      <c r="K122" s="120">
        <v>27</v>
      </c>
      <c r="L122" s="324" t="str">
        <f>'2 lentelė'!H123</f>
        <v>P.N.092</v>
      </c>
      <c r="M122" s="26" t="str">
        <f>'2 lentelė'!I123</f>
        <v xml:space="preserve">Kraštovaizdžio ir (ar) gamtinio karkaso formavimo aspektais pakeisti ar pakoreguoti savivaldybių ar jų dalių bendrieji planai </v>
      </c>
      <c r="N122" s="161">
        <f>'2 lentelė'!J123</f>
        <v>1</v>
      </c>
      <c r="O122" s="52">
        <v>1</v>
      </c>
      <c r="P122" s="148">
        <v>0</v>
      </c>
      <c r="Q122" s="325" t="str">
        <f>'2 lentelė'!K123</f>
        <v>R.N.091</v>
      </c>
      <c r="R122" s="23" t="str">
        <f>'2 lentelė'!L123</f>
        <v>Teritorijų, kuriose įgyvendintos kraštovaizdžio formavimo priemonės, plotas, ha</v>
      </c>
      <c r="S122" s="267">
        <f>'2 lentelė'!M123</f>
        <v>3.07</v>
      </c>
      <c r="T122" s="26">
        <v>3.07</v>
      </c>
      <c r="U122" s="120">
        <v>2.23</v>
      </c>
      <c r="V122" s="123"/>
      <c r="W122" s="31"/>
      <c r="X122" s="23"/>
      <c r="Y122" s="26"/>
      <c r="Z122" s="120"/>
      <c r="AA122" s="124"/>
      <c r="AB122" s="48"/>
      <c r="AC122" s="48"/>
      <c r="AD122" s="66"/>
      <c r="AE122" s="150"/>
      <c r="AF122" s="124"/>
      <c r="AG122" s="48"/>
      <c r="AH122" s="48"/>
      <c r="AI122" s="66"/>
      <c r="AJ122" s="150"/>
      <c r="AK122" s="27"/>
    </row>
    <row r="123" spans="2:37" ht="153" x14ac:dyDescent="0.25">
      <c r="B123" s="29" t="str">
        <f>'1 lentelė'!$B126</f>
        <v>2.2.2.1.10</v>
      </c>
      <c r="C123" s="29" t="str">
        <f>'1 lentelė'!$C126</f>
        <v>R090019-380000-2224</v>
      </c>
      <c r="D123" s="29" t="str">
        <f>'1 lentelė'!$D126</f>
        <v>Kraštovaizdžio formavimas, pažeistų žemių tvarkymas Ignalinos rajone ir bendrųjų planų tikslinimas</v>
      </c>
      <c r="E123" s="29" t="s">
        <v>66</v>
      </c>
      <c r="F123" s="145" t="s">
        <v>1515</v>
      </c>
      <c r="G123" s="324" t="str">
        <f>'2 lentelė'!E124</f>
        <v>P.N.092</v>
      </c>
      <c r="H123" s="26" t="str">
        <f>'2 lentelė'!F124</f>
        <v xml:space="preserve">Kraštovaizdžio ir (ar) gamtinio karkaso formavimo aspektais pakeisti ar pakoreguoti savivaldybių ar jų dalių bendrieji planai </v>
      </c>
      <c r="I123" s="161">
        <f>'2 lentelė'!G124</f>
        <v>2</v>
      </c>
      <c r="J123" s="50">
        <v>0</v>
      </c>
      <c r="K123" s="146">
        <v>0</v>
      </c>
      <c r="L123" s="324" t="str">
        <f>'2 lentelė'!H124</f>
        <v>P.S.338</v>
      </c>
      <c r="M123" s="26" t="str">
        <f>'2 lentelė'!I124</f>
        <v>Išsaugoti, sutvarkyti ar atkurti įvairaus teritorinio lygmens kraštovaizdžio arealai</v>
      </c>
      <c r="N123" s="161">
        <f>'2 lentelė'!J124</f>
        <v>1</v>
      </c>
      <c r="O123" s="50">
        <v>0</v>
      </c>
      <c r="P123" s="146">
        <v>0</v>
      </c>
      <c r="Q123" s="325" t="str">
        <f>'2 lentelė'!K124</f>
        <v>R.N.091</v>
      </c>
      <c r="R123" s="23" t="str">
        <f>'2 lentelė'!L124</f>
        <v>Teritorijų, kuriose įgyvendintos kraštovaizdžio formavimo priemonės, plotas, ha</v>
      </c>
      <c r="S123" s="267">
        <f>'2 lentelė'!M124</f>
        <v>10</v>
      </c>
      <c r="T123" s="23">
        <v>0</v>
      </c>
      <c r="U123" s="122">
        <v>0</v>
      </c>
      <c r="V123" s="325" t="str">
        <f>'2 lentelė'!N124</f>
        <v>P.N.094</v>
      </c>
      <c r="W123" s="23" t="str">
        <f>'2 lentelė'!O124</f>
        <v>Rekultyvuotos atvirais kasiniais pažeistos žemės</v>
      </c>
      <c r="X123" s="267">
        <f>'2 lentelė'!P124</f>
        <v>2</v>
      </c>
      <c r="Y123" s="67">
        <v>0</v>
      </c>
      <c r="Z123" s="163">
        <v>0</v>
      </c>
      <c r="AA123" s="325" t="str">
        <f>'2 lentelė'!Q124</f>
        <v>P.N.093</v>
      </c>
      <c r="AB123" s="23" t="str">
        <f>'2 lentelė'!R124</f>
        <v>Likviduoti kraštovaizdį darkantys bešeimininkiai apleisti statiniai ir įrenginiai</v>
      </c>
      <c r="AC123" s="327">
        <f>'2 lentelė'!S124</f>
        <v>8</v>
      </c>
      <c r="AD123" s="23">
        <v>0</v>
      </c>
      <c r="AE123" s="163">
        <v>0</v>
      </c>
      <c r="AF123" s="124"/>
      <c r="AG123" s="48"/>
      <c r="AH123" s="48"/>
      <c r="AI123" s="64"/>
      <c r="AJ123" s="135"/>
      <c r="AK123" s="6"/>
    </row>
    <row r="124" spans="2:37" ht="66.75" customHeight="1" x14ac:dyDescent="0.25">
      <c r="B124" s="29" t="str">
        <f>'1 lentelė'!$B127</f>
        <v>2.2.2.1.11</v>
      </c>
      <c r="C124" s="29" t="str">
        <f>'1 lentelė'!$C127</f>
        <v>R090019-380000-2225</v>
      </c>
      <c r="D124" s="29" t="str">
        <f>'1 lentelė'!$D127</f>
        <v>Bešeimininkių apleistų statinių likvidavimas Molėtų rajono savivaldybėje</v>
      </c>
      <c r="E124" s="29" t="s">
        <v>66</v>
      </c>
      <c r="F124" s="145" t="s">
        <v>1453</v>
      </c>
      <c r="G124" s="324" t="str">
        <f>'2 lentelė'!E125</f>
        <v>P.N.093</v>
      </c>
      <c r="H124" s="26" t="str">
        <f>'2 lentelė'!F125</f>
        <v>Likviduoti kraštovaizdį darkantys bešeimininkiai apleisti statiniai ir įrenginiai</v>
      </c>
      <c r="I124" s="161">
        <f>'2 lentelė'!G125</f>
        <v>8</v>
      </c>
      <c r="J124" s="50">
        <v>5</v>
      </c>
      <c r="K124" s="146">
        <v>0</v>
      </c>
      <c r="L124" s="324" t="str">
        <f>'2 lentelė'!H125</f>
        <v>R.N.091</v>
      </c>
      <c r="M124" s="26" t="str">
        <f>'2 lentelė'!I125</f>
        <v>Teritorijų, kuriose įgyvendintos kraštovaizdžio formavimo priemonės, plotas, ha</v>
      </c>
      <c r="N124" s="161">
        <f>'2 lentelė'!J125</f>
        <v>1.03</v>
      </c>
      <c r="O124" s="50">
        <v>0.56999999999999995</v>
      </c>
      <c r="P124" s="146">
        <v>0</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25">
      <c r="B125" s="29" t="str">
        <f>'1 lentelė'!$B128</f>
        <v>2.2.2.1.12</v>
      </c>
      <c r="C125" s="29" t="str">
        <f>'1 lentelė'!$C128</f>
        <v>R090019-380000-2226</v>
      </c>
      <c r="D125" s="29" t="str">
        <f>'1 lentelė'!$D128</f>
        <v>Bešeimininkių apleistų pastatų likvidavimas Zarasų rajone</v>
      </c>
      <c r="E125" s="29" t="s">
        <v>66</v>
      </c>
      <c r="F125" s="145" t="s">
        <v>1454</v>
      </c>
      <c r="G125" s="324" t="str">
        <f>'2 lentelė'!E126</f>
        <v>P.N.093</v>
      </c>
      <c r="H125" s="26" t="str">
        <f>'2 lentelė'!F126</f>
        <v>Likviduoti kraštovaizdį darkantys bešeimininkiai apleisti statiniai ir įrenginiai</v>
      </c>
      <c r="I125" s="161">
        <f>'2 lentelė'!G126</f>
        <v>5</v>
      </c>
      <c r="J125" s="50">
        <v>5</v>
      </c>
      <c r="K125" s="146">
        <v>0</v>
      </c>
      <c r="L125" s="324" t="str">
        <f>'2 lentelė'!H126</f>
        <v>R.N.091</v>
      </c>
      <c r="M125" s="26" t="str">
        <f>'2 lentelė'!I126</f>
        <v>Teritorijų, kuriose įgyvendintos kraštovaizdžio formavimo priemonės, plotas, ha</v>
      </c>
      <c r="N125" s="161">
        <f>'2 lentelė'!J126</f>
        <v>0.45800000000000002</v>
      </c>
      <c r="O125" s="50">
        <v>0.46</v>
      </c>
      <c r="P125" s="146">
        <v>0</v>
      </c>
      <c r="Q125" s="267"/>
      <c r="R125" s="23"/>
      <c r="S125" s="23"/>
      <c r="T125" s="23"/>
      <c r="U125" s="122"/>
      <c r="V125" s="267"/>
      <c r="W125" s="23"/>
      <c r="X125" s="23"/>
      <c r="Y125" s="67"/>
      <c r="Z125" s="163"/>
      <c r="AA125" s="267"/>
      <c r="AB125" s="23"/>
      <c r="AC125" s="23"/>
      <c r="AD125" s="267"/>
      <c r="AE125" s="163"/>
      <c r="AF125" s="268"/>
      <c r="AG125" s="48"/>
      <c r="AH125" s="48"/>
      <c r="AI125" s="64"/>
      <c r="AJ125" s="135"/>
      <c r="AK125" s="6"/>
    </row>
    <row r="126" spans="2:37" ht="79.5" customHeight="1" x14ac:dyDescent="0.25">
      <c r="B126" s="58" t="str">
        <f>'1 lentelė'!$B129</f>
        <v xml:space="preserve">2.3 </v>
      </c>
      <c r="C126" s="58"/>
      <c r="D126" s="58" t="str">
        <f>'1 lentelė'!$D129</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25">
      <c r="B127" s="62" t="str">
        <f>'1 lentelė'!$B130</f>
        <v>2.3.1</v>
      </c>
      <c r="C127" s="62"/>
      <c r="D127" s="61" t="str">
        <f>'1 lentelė'!$D130</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25">
      <c r="B128" s="53" t="str">
        <f>'1 lentelė'!$B131</f>
        <v>2.3.1.1</v>
      </c>
      <c r="C128" s="53"/>
      <c r="D128" s="77" t="str">
        <f>'1 lentelė'!$D131</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34.25" customHeight="1" x14ac:dyDescent="0.25">
      <c r="B129" s="29" t="str">
        <f>'1 lentelė'!$B132</f>
        <v>2.3.1.1.1</v>
      </c>
      <c r="C129" s="29" t="str">
        <f>'1 lentelė'!$C132</f>
        <v>R098830-360000-2301</v>
      </c>
      <c r="D129" s="29" t="str">
        <f>'1 lentelė'!$D132</f>
        <v>Investicijos į Visagine kuriamo pramoninio parko (SMART PARK) inžinerinius tinklus ir susisiekimo komunikacijas bei pramoninio parko rinkodarą</v>
      </c>
      <c r="E129" s="29" t="s">
        <v>65</v>
      </c>
      <c r="F129" s="281" t="s">
        <v>66</v>
      </c>
      <c r="G129" s="328" t="str">
        <f>'2 lentelė'!E130</f>
        <v>P.S.303</v>
      </c>
      <c r="H129" s="52" t="str">
        <f>'2 lentelė'!F130</f>
        <v>Investicijas gavusių viešųjų teritorijų plotas, ha</v>
      </c>
      <c r="I129" s="329">
        <f>'2 lentelė'!G130</f>
        <v>9</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3.25" customHeight="1" x14ac:dyDescent="0.25">
      <c r="B130" s="61" t="str">
        <f>'1 lentelė'!$B133</f>
        <v>2.3.2</v>
      </c>
      <c r="C130" s="61"/>
      <c r="D130" s="61" t="str">
        <f>'1 lentelė'!$D133</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57.75" customHeight="1" x14ac:dyDescent="0.25">
      <c r="B131" s="53" t="str">
        <f>'1 lentelė'!$B134</f>
        <v>2.3.2.1</v>
      </c>
      <c r="C131" s="53"/>
      <c r="D131" s="77" t="str">
        <f>'1 lentelė'!$D134</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93" customHeight="1" x14ac:dyDescent="0.25">
      <c r="B132" s="59" t="str">
        <f>'1 lentelė'!$B135</f>
        <v>2.3.3</v>
      </c>
      <c r="C132" s="59"/>
      <c r="D132" s="60" t="str">
        <f>'1 lentelė'!$D135</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25">
      <c r="B133" s="53" t="str">
        <f>'1 lentelė'!$B136</f>
        <v>2.3.3.1</v>
      </c>
      <c r="C133" s="53"/>
      <c r="D133" s="77" t="str">
        <f>'1 lentelė'!$D136</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17" customHeight="1" x14ac:dyDescent="0.25">
      <c r="B134" s="29" t="str">
        <f>'1 lentelė'!$B137</f>
        <v>2.3.3.1.1</v>
      </c>
      <c r="C134" s="29" t="str">
        <f>'1 lentelė'!$C137</f>
        <v>R09B000-510000-2302</v>
      </c>
      <c r="D134" s="29" t="str">
        <f>'1 lentelė'!$D137</f>
        <v>Pasaulinio medicininių produktų gamintojo plėtros projektas                         (URPT 2018-06-07 sprendimas Nr.51/7S-31)</v>
      </c>
      <c r="E134" s="33" t="s">
        <v>31</v>
      </c>
      <c r="F134" s="118"/>
      <c r="G134" s="328" t="str">
        <f>'2 lentelė'!E135</f>
        <v>RSP.01</v>
      </c>
      <c r="H134" s="52" t="str">
        <f>'2 lentelė'!F135</f>
        <v>Sukurtos darbo vietos, vnt.</v>
      </c>
      <c r="I134" s="329">
        <f>'2 lentelė'!G135</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1" x14ac:dyDescent="0.25">
      <c r="B135" s="78" t="str">
        <f>'1 lentelė'!$B138</f>
        <v>3.</v>
      </c>
      <c r="C135" s="78"/>
      <c r="D135" s="78" t="str">
        <f>'1 lentelė'!$D138</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1.5" customHeight="1" x14ac:dyDescent="0.25">
      <c r="B136" s="58" t="str">
        <f>'1 lentelė'!$B139</f>
        <v xml:space="preserve">3.1 </v>
      </c>
      <c r="C136" s="58"/>
      <c r="D136" s="58" t="str">
        <f>'1 lentelė'!$D139</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80.25" customHeight="1" x14ac:dyDescent="0.25">
      <c r="B137" s="61" t="str">
        <f>'1 lentelė'!$B140</f>
        <v>3.1.1</v>
      </c>
      <c r="C137" s="61"/>
      <c r="D137" s="61" t="str">
        <f>'1 lentelė'!$D140</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81" customHeight="1" x14ac:dyDescent="0.25">
      <c r="B138" s="53" t="str">
        <f>'1 lentelė'!$B141</f>
        <v>3.1.1.1</v>
      </c>
      <c r="C138" s="53"/>
      <c r="D138" s="77" t="str">
        <f>'1 lentelė'!$D141</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2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17.75" customHeight="1" x14ac:dyDescent="0.25">
      <c r="B140" s="29" t="str">
        <f>'1 lentelė'!$B142</f>
        <v>3.1.1.1.2</v>
      </c>
      <c r="C140" s="29" t="str">
        <f>'1 lentelė'!$C142</f>
        <v>R097705-230000-3102</v>
      </c>
      <c r="D140" s="29" t="str">
        <f>'1 lentelė'!$D142</f>
        <v>Utenos vaikų lopšelio darželio „Šaltinėlis“ vidaus patalpų modernizavimas</v>
      </c>
      <c r="E140" s="29" t="s">
        <v>65</v>
      </c>
      <c r="F140" s="154" t="s">
        <v>972</v>
      </c>
      <c r="G140" s="324" t="str">
        <f>'2 lentelė'!E140</f>
        <v>P.N.717</v>
      </c>
      <c r="H140" s="26" t="str">
        <f>'2 lentelė'!F140</f>
        <v>Pagal veiksmų programą ERPF lėšomis atnaujintos ikimokyklinio ir priešmokyklinio ugdymo mokyklos, vnt.</v>
      </c>
      <c r="I140" s="161">
        <f>'2 lentelė'!G140</f>
        <v>1</v>
      </c>
      <c r="J140" s="52">
        <v>1</v>
      </c>
      <c r="K140" s="148">
        <v>0</v>
      </c>
      <c r="L140" s="324" t="str">
        <f>'2 lentelė'!H140</f>
        <v>P.N.743</v>
      </c>
      <c r="M140" s="26" t="str">
        <f>'2 lentelė'!I140</f>
        <v xml:space="preserve">Pagal veiksmų programą ERPF lėšomis atnaujintos ikimokyklinio ir/ar priešmokyklinio ugdymo grupės </v>
      </c>
      <c r="N140" s="161">
        <f>'2 lentelė'!J140</f>
        <v>4</v>
      </c>
      <c r="O140" s="52">
        <v>4</v>
      </c>
      <c r="P140" s="148">
        <v>0</v>
      </c>
      <c r="Q140" s="325" t="str">
        <f>'2 lentelė'!K140</f>
        <v>P.B.235</v>
      </c>
      <c r="R140" s="23" t="str">
        <f>'2 lentelė'!L140</f>
        <v>Investicijas gavusios vaikų priežiūros arba švietimo infrastruktūros pajėgumas</v>
      </c>
      <c r="S140" s="267">
        <f>'2 lentelė'!M140</f>
        <v>190</v>
      </c>
      <c r="T140" s="52">
        <v>190</v>
      </c>
      <c r="U140" s="148">
        <v>0</v>
      </c>
      <c r="V140" s="325" t="str">
        <f>'2 lentelė'!N140</f>
        <v>P.S.434</v>
      </c>
      <c r="W140" s="31" t="str">
        <f>'2 lentelė'!O140</f>
        <v>Pagal veiksmų programą ERPF lėšomis atnaujintos ikimokyklinio ir/ar priešmokyklinio ugdymo vietos</v>
      </c>
      <c r="X140" s="267">
        <f>'2 lentelė'!P140</f>
        <v>70</v>
      </c>
      <c r="Y140" s="26">
        <v>70</v>
      </c>
      <c r="Z140" s="120">
        <v>0</v>
      </c>
      <c r="AA140" s="124"/>
      <c r="AB140" s="48"/>
      <c r="AC140" s="48"/>
      <c r="AD140" s="64"/>
      <c r="AE140" s="135"/>
      <c r="AF140" s="124"/>
      <c r="AG140" s="48"/>
      <c r="AH140" s="48"/>
      <c r="AI140" s="64"/>
      <c r="AJ140" s="135"/>
      <c r="AK140" s="6"/>
    </row>
    <row r="141" spans="2:37" ht="117.75" customHeight="1" x14ac:dyDescent="0.25">
      <c r="B141" s="29" t="str">
        <f>'1 lentelė'!$B143</f>
        <v>3.1.1.1.3</v>
      </c>
      <c r="C141" s="29" t="str">
        <f>'1 lentelė'!$C143</f>
        <v>R097705-230000-3103</v>
      </c>
      <c r="D141" s="29" t="str">
        <f>'1 lentelė'!$D143</f>
        <v>Utenos vaikų lopšelio – darželio ,,Pasaka" vidaus patalpų modernizavimas</v>
      </c>
      <c r="E141" s="286" t="s">
        <v>66</v>
      </c>
      <c r="F141" s="154" t="s">
        <v>1459</v>
      </c>
      <c r="G141" s="324" t="str">
        <f>'2 lentelė'!E141</f>
        <v>P.N.717</v>
      </c>
      <c r="H141" s="26" t="str">
        <f>'2 lentelė'!F141</f>
        <v>Pagal veiksmų programą ERPF lėšomis atnaujintos ikimokyklinio ir priešmokyklinio ugdymo mokyklos, vnt.</v>
      </c>
      <c r="I141" s="161">
        <f>'2 lentelė'!G141</f>
        <v>1</v>
      </c>
      <c r="J141" s="52">
        <v>0</v>
      </c>
      <c r="K141" s="148">
        <v>0</v>
      </c>
      <c r="L141" s="324" t="str">
        <f>'2 lentelė'!H141</f>
        <v>P.N.743</v>
      </c>
      <c r="M141" s="26" t="str">
        <f>'2 lentelė'!I141</f>
        <v xml:space="preserve">Pagal veiksmų programą ERPF lėšomis atnaujintos ikimokyklinio ir/ar priešmokyklinio ugdymo grupės </v>
      </c>
      <c r="N141" s="161">
        <f>'2 lentelė'!J141</f>
        <v>3</v>
      </c>
      <c r="O141" s="52">
        <v>0</v>
      </c>
      <c r="P141" s="148">
        <v>0</v>
      </c>
      <c r="Q141" s="325" t="str">
        <f>'2 lentelė'!K141</f>
        <v>P.B.235</v>
      </c>
      <c r="R141" s="23" t="str">
        <f>'2 lentelė'!L141</f>
        <v>Investicijas gavusios vaikų priežiūros arba švietimo infrastruktūros pajėgumas</v>
      </c>
      <c r="S141" s="267">
        <f>'2 lentelė'!M141</f>
        <v>210</v>
      </c>
      <c r="T141" s="52">
        <v>0</v>
      </c>
      <c r="U141" s="148">
        <v>0</v>
      </c>
      <c r="V141" s="325" t="str">
        <f>'2 lentelė'!N141</f>
        <v>P.S.434</v>
      </c>
      <c r="W141" s="31" t="str">
        <f>'2 lentelė'!O141</f>
        <v>Pagal veiksmų programą ERPF lėšomis atnaujintos ikimokyklinio ir/ar priešmokyklinio ugdymo vietos</v>
      </c>
      <c r="X141" s="267">
        <f>'2 lentelė'!P141</f>
        <v>50</v>
      </c>
      <c r="Y141" s="26">
        <v>0</v>
      </c>
      <c r="Z141" s="120">
        <v>0</v>
      </c>
      <c r="AA141" s="268"/>
      <c r="AB141" s="48"/>
      <c r="AC141" s="48"/>
      <c r="AD141" s="64"/>
      <c r="AE141" s="135"/>
      <c r="AF141" s="268"/>
      <c r="AG141" s="48"/>
      <c r="AH141" s="48"/>
      <c r="AI141" s="64"/>
      <c r="AJ141" s="135"/>
      <c r="AK141" s="6"/>
    </row>
    <row r="142" spans="2:37" ht="55.5" customHeight="1" x14ac:dyDescent="0.25">
      <c r="B142" s="53" t="str">
        <f>'1 lentelė'!$B144</f>
        <v>3.1.1.2</v>
      </c>
      <c r="C142" s="53"/>
      <c r="D142" s="53" t="str">
        <f>'1 lentelė'!$D144</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01.25" customHeight="1" x14ac:dyDescent="0.25">
      <c r="B143" s="29" t="str">
        <f>'1 lentelė'!$B145</f>
        <v>3.1.1.2.1</v>
      </c>
      <c r="C143" s="29" t="str">
        <f>'1 lentelė'!$C145</f>
        <v>R097724-220000-3103</v>
      </c>
      <c r="D143" s="29" t="str">
        <f>'1 lentelė'!$D145</f>
        <v xml:space="preserve">Anykščių miesto A.Vienuolio progimnazijos modernizavimas (vidaus erdvių remontas ir aprūpinimas įranga) </v>
      </c>
      <c r="E143" s="29" t="s">
        <v>65</v>
      </c>
      <c r="F143" s="154" t="s">
        <v>973</v>
      </c>
      <c r="G143" s="324" t="str">
        <f>'2 lentelė'!E143</f>
        <v>P.N.722</v>
      </c>
      <c r="H143" s="26" t="str">
        <f>'2 lentelė'!F143</f>
        <v>Pagal veiksmų programą ERPF lėšomis atnaujintos bendrojo ugdymo mokyklos, vnt.</v>
      </c>
      <c r="I143" s="161">
        <f>'2 lentelė'!G143</f>
        <v>1</v>
      </c>
      <c r="J143" s="52">
        <v>1</v>
      </c>
      <c r="K143" s="148">
        <v>0</v>
      </c>
      <c r="L143" s="324" t="str">
        <f>'2 lentelė'!H143</f>
        <v>P.B.235</v>
      </c>
      <c r="M143" s="26" t="str">
        <f>'2 lentelė'!I143</f>
        <v>Investicijas gavusios vaikų priežiūros arba švietimo infrastruktūros pajėgumas</v>
      </c>
      <c r="N143" s="161">
        <f>'2 lentelė'!J143</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10.25" customHeight="1" x14ac:dyDescent="0.25">
      <c r="B144" s="29" t="str">
        <f>'1 lentelė'!$B146</f>
        <v>3.1.1.2.2</v>
      </c>
      <c r="C144" s="29" t="str">
        <f>'1 lentelė'!$C146</f>
        <v>R097724-220000-3104</v>
      </c>
      <c r="D144" s="29" t="str">
        <f>'1 lentelė'!$D146</f>
        <v xml:space="preserve">„Kūrybiškumą skatinančių edukacinių erdvių kūrimas Molėtų gimnazijos vidaus patalpose“ </v>
      </c>
      <c r="E144" s="33" t="s">
        <v>66</v>
      </c>
      <c r="F144" s="145" t="s">
        <v>974</v>
      </c>
      <c r="G144" s="324" t="str">
        <f>'2 lentelė'!E144</f>
        <v>P.N.722</v>
      </c>
      <c r="H144" s="26" t="str">
        <f>'2 lentelė'!F144</f>
        <v>Pagal veiksmų programą ERPF lėšomis atnaujintos bendrojo ugdymo mokyklos, vnt.</v>
      </c>
      <c r="I144" s="161">
        <f>'2 lentelė'!G144</f>
        <v>1</v>
      </c>
      <c r="J144" s="52">
        <v>1</v>
      </c>
      <c r="K144" s="148">
        <v>0</v>
      </c>
      <c r="L144" s="324" t="str">
        <f>'2 lentelė'!H144</f>
        <v>P.B.235</v>
      </c>
      <c r="M144" s="26" t="str">
        <f>'2 lentelė'!I144</f>
        <v>Investicijas gavusios vaikų priežiūros arba švietimo infrastruktūros pajėgumas</v>
      </c>
      <c r="N144" s="161">
        <f>'2 lentelė'!J144</f>
        <v>447</v>
      </c>
      <c r="O144" s="23">
        <v>447</v>
      </c>
      <c r="P144" s="122">
        <v>0</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25">
      <c r="B145" s="29" t="str">
        <f>'1 lentelė'!$B147</f>
        <v>3.1.1.2.3</v>
      </c>
      <c r="C145" s="29" t="str">
        <f>'1 lentelė'!$C147</f>
        <v>R097724-220000-3105</v>
      </c>
      <c r="D145" s="29" t="str">
        <f>'1 lentelė'!$D147</f>
        <v xml:space="preserve">„Edukacinių erdvių kūrimas Ignalinos Česlovo Kudabos progimnazijoje“ </v>
      </c>
      <c r="E145" s="33" t="s">
        <v>66</v>
      </c>
      <c r="F145" s="145" t="s">
        <v>975</v>
      </c>
      <c r="G145" s="324" t="str">
        <f>'2 lentelė'!E145</f>
        <v>P.N.722</v>
      </c>
      <c r="H145" s="26" t="str">
        <f>'2 lentelė'!F145</f>
        <v>Pagal veiksmų programą ERPF lėšomis atnaujintos bendrojo ugdymo mokyklos, vnt.</v>
      </c>
      <c r="I145" s="161">
        <f>'2 lentelė'!G145</f>
        <v>1</v>
      </c>
      <c r="J145" s="52">
        <v>1</v>
      </c>
      <c r="K145" s="148">
        <v>0</v>
      </c>
      <c r="L145" s="324" t="str">
        <f>'2 lentelė'!H145</f>
        <v>P.B.235</v>
      </c>
      <c r="M145" s="26" t="str">
        <f>'2 lentelė'!I145</f>
        <v>Investicijas gavusios vaikų priežiūros arba švietimo infrastruktūros pajėgumas</v>
      </c>
      <c r="N145" s="161">
        <f>'2 lentelė'!J145</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25">
      <c r="B146" s="62" t="str">
        <f>'1 lentelė'!$B148</f>
        <v>3.1.2</v>
      </c>
      <c r="C146" s="62"/>
      <c r="D146" s="61" t="str">
        <f>'1 lentelė'!$D148</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25">
      <c r="B147" s="53" t="str">
        <f>'1 lentelė'!$B149</f>
        <v>3.1.2.1</v>
      </c>
      <c r="C147" s="53"/>
      <c r="D147" s="77" t="str">
        <f>'1 lentelė'!$D149</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25">
      <c r="B148" s="29" t="str">
        <f>'1 lentelė'!$B150</f>
        <v>3.1.2.1.1</v>
      </c>
      <c r="C148" s="29" t="str">
        <f>'1 lentelė'!$C150</f>
        <v>R097725-240000-3106</v>
      </c>
      <c r="D148" s="29" t="str">
        <f>'1 lentelė'!$D150</f>
        <v xml:space="preserve">Vaikų ir jaunimo neformalaus ugdymosi galimybių plėtra Anykščių kūno kultūros ir sporto centrui priklausančiuose A. Vienuolio progimnazijos patalpose </v>
      </c>
      <c r="E148" s="29" t="s">
        <v>65</v>
      </c>
      <c r="F148" s="145" t="s">
        <v>976</v>
      </c>
      <c r="G148" s="324" t="str">
        <f>'2 lentelė'!E148</f>
        <v>P.N.723</v>
      </c>
      <c r="H148" s="26" t="str">
        <f>'2 lentelė'!F148</f>
        <v>Pagal veiksmų programą ERPF lėšomis atnaujinta neformaliojo ugdymo įstaigos</v>
      </c>
      <c r="I148" s="161">
        <f>'2 lentelė'!G148</f>
        <v>1</v>
      </c>
      <c r="J148" s="52">
        <v>1</v>
      </c>
      <c r="K148" s="148">
        <v>0</v>
      </c>
      <c r="L148" s="324" t="str">
        <f>'2 lentelė'!H148</f>
        <v>P.B.235</v>
      </c>
      <c r="M148" s="26" t="str">
        <f>'2 lentelė'!I148</f>
        <v>Investicijas gavusios vaikų priežiūros arba švietimo infrastruktūros pajėgumas</v>
      </c>
      <c r="N148" s="161">
        <f>'2 lentelė'!J148</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25">
      <c r="B149" s="29" t="str">
        <f>'1 lentelė'!$B151</f>
        <v xml:space="preserve">3.1.2.1.2 </v>
      </c>
      <c r="C149" s="29" t="str">
        <f>'1 lentelė'!$C151</f>
        <v>R097725-243200-3107</v>
      </c>
      <c r="D149" s="29" t="str">
        <f>'1 lentelė'!$D151</f>
        <v>Zarasų sporto centro erdvių atnaujinimas</v>
      </c>
      <c r="E149" s="29" t="s">
        <v>30</v>
      </c>
      <c r="F149" s="145" t="s">
        <v>977</v>
      </c>
      <c r="G149" s="324" t="str">
        <f>'2 lentelė'!E149</f>
        <v>P.N.723</v>
      </c>
      <c r="H149" s="26" t="str">
        <f>'2 lentelė'!F149</f>
        <v>Pagal veiksmų programą ERPF lėšomis atnaujinta neformaliojo ugdymo įstaigos</v>
      </c>
      <c r="I149" s="161">
        <f>'2 lentelė'!G149</f>
        <v>1</v>
      </c>
      <c r="J149" s="52">
        <v>1</v>
      </c>
      <c r="K149" s="148">
        <v>0</v>
      </c>
      <c r="L149" s="324" t="str">
        <f>'2 lentelė'!H149</f>
        <v>P.B.235</v>
      </c>
      <c r="M149" s="26" t="str">
        <f>'2 lentelė'!I149</f>
        <v>Investicijas gavusios vaikų priežiūros arba švietimo infrastruktūros pajėgumas</v>
      </c>
      <c r="N149" s="161">
        <f>'2 lentelė'!J149</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25">
      <c r="B150" s="58" t="str">
        <f>'1 lentelė'!$B152</f>
        <v xml:space="preserve">3.2 </v>
      </c>
      <c r="C150" s="58"/>
      <c r="D150" s="58" t="str">
        <f>'1 lentelė'!$D152</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25">
      <c r="B151" s="62" t="str">
        <f>'1 lentelė'!$B153</f>
        <v>3.2.1</v>
      </c>
      <c r="C151" s="62"/>
      <c r="D151" s="61" t="str">
        <f>'1 lentelė'!$D153</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25">
      <c r="B152" s="53" t="str">
        <f>'1 lentelė'!$B154</f>
        <v>3.2.1.1</v>
      </c>
      <c r="C152" s="53"/>
      <c r="D152" s="77" t="str">
        <f>'1 lentelė'!$D154</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1.25" x14ac:dyDescent="0.25">
      <c r="B153" s="29" t="str">
        <f>'1 lentelė'!$B155</f>
        <v>3.2.1.1.1</v>
      </c>
      <c r="C153" s="29" t="str">
        <f>'1 lentelė'!$C155</f>
        <v>R096609-270000-3236</v>
      </c>
      <c r="D153" s="29" t="str">
        <f>'1 lentelė'!$D155</f>
        <v>Anykščių rajono savivaldybės gyventojų sveikatos stiprinimas gerinant pirminės sveikatos priežiūros paslaugų prieinamumą ir kokybę</v>
      </c>
      <c r="E153" s="33" t="s">
        <v>66</v>
      </c>
      <c r="F153" s="118" t="s">
        <v>978</v>
      </c>
      <c r="G153" s="324" t="str">
        <f>'2 lentelė'!E153</f>
        <v>P.B.236</v>
      </c>
      <c r="H153" s="26" t="str">
        <f>'2 lentelė'!F153</f>
        <v>Gyventojai, turintys galimybę pasinaudoti pagerintomis sveikatos priežiūros paslaugomis</v>
      </c>
      <c r="I153" s="161">
        <f>'2 lentelė'!G153</f>
        <v>21285</v>
      </c>
      <c r="J153" s="52">
        <v>21285</v>
      </c>
      <c r="K153" s="148">
        <v>0</v>
      </c>
      <c r="L153" s="324" t="str">
        <f>'2 lentelė'!H153</f>
        <v>P.S.363</v>
      </c>
      <c r="M153" s="26" t="str">
        <f>'2 lentelė'!I153</f>
        <v>Viešąsias sveikatos priežiūros paslaugas teikiančių asmens sveikatos priežiūros įstaigų, kuriose modernizuota paslaugų teikimo infrastruktūra, skaičius</v>
      </c>
      <c r="N153" s="161">
        <f>'2 lentelė'!J153</f>
        <v>1</v>
      </c>
      <c r="O153" s="52">
        <v>1</v>
      </c>
      <c r="P153" s="148">
        <v>0</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1.25" x14ac:dyDescent="0.25">
      <c r="B154" s="29" t="str">
        <f>'1 lentelė'!$B156</f>
        <v>3.2.1.1.2</v>
      </c>
      <c r="C154" s="29" t="str">
        <f>'1 lentelė'!$C156</f>
        <v>R096609-270000-3237</v>
      </c>
      <c r="D154" s="29" t="str">
        <f>'1 lentelė'!$D156</f>
        <v>Pirminės sveikatos paslaugų gerinimas VšĮ Ignalinos rajono poliklinikoje</v>
      </c>
      <c r="E154" s="33" t="s">
        <v>66</v>
      </c>
      <c r="F154" s="118" t="s">
        <v>1176</v>
      </c>
      <c r="G154" s="324" t="str">
        <f>'2 lentelė'!E154</f>
        <v>P.B.236</v>
      </c>
      <c r="H154" s="26" t="str">
        <f>'2 lentelė'!F154</f>
        <v>Gyventojai, turintys galimybę pasinaudoti pagerintomis sveikatos priežiūros paslaugomis</v>
      </c>
      <c r="I154" s="161">
        <f>'2 lentelė'!G154</f>
        <v>6931</v>
      </c>
      <c r="J154" s="52">
        <v>6931</v>
      </c>
      <c r="K154" s="148">
        <v>6497</v>
      </c>
      <c r="L154" s="324" t="str">
        <f>'2 lentelė'!H154</f>
        <v>P.S.363</v>
      </c>
      <c r="M154" s="26" t="str">
        <f>'2 lentelė'!I154</f>
        <v>Viešąsias sveikatos priežiūros paslaugas teikiančių asmens sveikatos priežiūros įstaigų, kuriose modernizuota paslaugų teikimo infrastruktūra, skaičius</v>
      </c>
      <c r="N154" s="161">
        <f>'2 lentelė'!J154</f>
        <v>1</v>
      </c>
      <c r="O154" s="52">
        <v>1</v>
      </c>
      <c r="P154" s="148">
        <v>1</v>
      </c>
      <c r="Q154" s="121"/>
      <c r="R154" s="23"/>
      <c r="S154" s="273"/>
      <c r="T154" s="52"/>
      <c r="U154" s="148"/>
      <c r="V154" s="123"/>
      <c r="W154" s="31"/>
      <c r="X154" s="23"/>
      <c r="Y154" s="26"/>
      <c r="Z154" s="120"/>
      <c r="AA154" s="124"/>
      <c r="AB154" s="48"/>
      <c r="AC154" s="48"/>
      <c r="AD154" s="64"/>
      <c r="AE154" s="135"/>
      <c r="AF154" s="124"/>
      <c r="AG154" s="48"/>
      <c r="AH154" s="48"/>
      <c r="AI154" s="64"/>
      <c r="AJ154" s="135"/>
      <c r="AK154" s="6"/>
    </row>
    <row r="155" spans="2:37" ht="191.25" x14ac:dyDescent="0.25">
      <c r="B155" s="29" t="str">
        <f>'1 lentelė'!$B157</f>
        <v>3.2.1.1.3</v>
      </c>
      <c r="C155" s="29" t="str">
        <f>'1 lentelė'!$C157</f>
        <v>R096609-270000-3238</v>
      </c>
      <c r="D155" s="29" t="str">
        <f>'1 lentelė'!$D157</f>
        <v>UAB „Ignalinos sveikatos centras“ pirminės asmens sveikatos priežiūros paslaugų teikimo efektyvumo didinimas</v>
      </c>
      <c r="E155" s="33" t="s">
        <v>66</v>
      </c>
      <c r="F155" s="118" t="s">
        <v>979</v>
      </c>
      <c r="G155" s="324" t="str">
        <f>'2 lentelė'!E155</f>
        <v>P.B.236</v>
      </c>
      <c r="H155" s="26" t="str">
        <f>'2 lentelė'!F155</f>
        <v>Gyventojai, turintys galimybę pasinaudoti pagerintomis sveikatos priežiūros paslaugomis</v>
      </c>
      <c r="I155" s="161">
        <f>'2 lentelė'!G155</f>
        <v>6363</v>
      </c>
      <c r="J155" s="52">
        <v>6819</v>
      </c>
      <c r="K155" s="148">
        <v>6393</v>
      </c>
      <c r="L155" s="324" t="str">
        <f>'2 lentelė'!H155</f>
        <v>P.S.363</v>
      </c>
      <c r="M155" s="26" t="str">
        <f>'2 lentelė'!I155</f>
        <v>Viešąsias sveikatos priežiūros paslaugas teikiančių asmens sveikatos priežiūros įstaigų, kuriose modernizuota paslaugų teikimo infrastruktūra, skaičius</v>
      </c>
      <c r="N155" s="161">
        <f>'2 lentelė'!J155</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1.25" x14ac:dyDescent="0.25">
      <c r="B156" s="29" t="str">
        <f>'1 lentelė'!$B158</f>
        <v>3.2.1.1.4</v>
      </c>
      <c r="C156" s="29" t="str">
        <f>'1 lentelė'!$C158</f>
        <v>R096609-270000-3239</v>
      </c>
      <c r="D156" s="29" t="str">
        <f>'1 lentelė'!$D158</f>
        <v>Molėtų r. pirminės sveikatos priežiūros centro veiklos efektyvumo didinimas</v>
      </c>
      <c r="E156" s="33">
        <f>-'4_priedo_1'!P154106</f>
        <v>0</v>
      </c>
      <c r="F156" s="154" t="s">
        <v>980</v>
      </c>
      <c r="G156" s="324" t="str">
        <f>'2 lentelė'!E156</f>
        <v>P.B.236</v>
      </c>
      <c r="H156" s="26" t="str">
        <f>'2 lentelė'!F156</f>
        <v>Gyventojai, turintys galimybę pasinaudoti pagerintomis sveikatos priežiūros paslaugomis</v>
      </c>
      <c r="I156" s="161">
        <f>'2 lentelė'!G156</f>
        <v>15617</v>
      </c>
      <c r="J156" s="52">
        <v>15617</v>
      </c>
      <c r="K156" s="148">
        <v>0</v>
      </c>
      <c r="L156" s="324" t="str">
        <f>'2 lentelė'!H156</f>
        <v>P.S.363</v>
      </c>
      <c r="M156" s="26" t="str">
        <f>'2 lentelė'!I156</f>
        <v>Viešąsias sveikatos priežiūros paslaugas teikiančių asmens sveikatos priežiūros įstaigų, kuriose modernizuota paslaugų teikimo infrastruktūra, skaičius</v>
      </c>
      <c r="N156" s="161">
        <f>'2 lentelė'!J156</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1.25" x14ac:dyDescent="0.25">
      <c r="B157" s="29" t="str">
        <f>'1 lentelė'!$B159</f>
        <v>3.2.1.1.5</v>
      </c>
      <c r="C157" s="29" t="str">
        <f>'1 lentelė'!$C159</f>
        <v>R096609-270000-3240</v>
      </c>
      <c r="D157" s="29" t="str">
        <f>'1 lentelė'!$D159</f>
        <v>Pirminės asmens sveikatos priežiūros veiklos efektyvumo didinimas Utenos rajone</v>
      </c>
      <c r="E157" s="33" t="s">
        <v>66</v>
      </c>
      <c r="F157" s="118" t="s">
        <v>981</v>
      </c>
      <c r="G157" s="324" t="str">
        <f>'2 lentelė'!E157</f>
        <v>P.B.236</v>
      </c>
      <c r="H157" s="26" t="str">
        <f>'2 lentelė'!F157</f>
        <v>Gyventojai, turintys galimybę pasinaudoti pagerintomis sveikatos priežiūros paslaugomis</v>
      </c>
      <c r="I157" s="161">
        <f>'2 lentelė'!G157</f>
        <v>19722</v>
      </c>
      <c r="J157" s="52">
        <v>19722</v>
      </c>
      <c r="K157" s="148">
        <v>0</v>
      </c>
      <c r="L157" s="324" t="str">
        <f>'2 lentelė'!H157</f>
        <v>P.S.363</v>
      </c>
      <c r="M157" s="26" t="str">
        <f>'2 lentelė'!I157</f>
        <v>Viešąsias sveikatos priežiūros paslaugas teikiančių asmens sveikatos priežiūros įstaigų, kuriose modernizuota paslaugų teikimo infrastruktūra, skaičius</v>
      </c>
      <c r="N157" s="161">
        <f>'2 lentelė'!J157</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1.25" x14ac:dyDescent="0.25">
      <c r="B158" s="29" t="str">
        <f>'1 lentelė'!$B160</f>
        <v>3.2.1.1.6</v>
      </c>
      <c r="C158" s="29" t="str">
        <f>'1 lentelė'!$C160</f>
        <v>R096609-270000-3241</v>
      </c>
      <c r="D158" s="29" t="str">
        <f>'1 lentelė'!$D160</f>
        <v>UAB "Dilina" teikiamų paslaugų efektyvumo didinimas</v>
      </c>
      <c r="E158" s="33" t="s">
        <v>66</v>
      </c>
      <c r="F158" s="154" t="s">
        <v>982</v>
      </c>
      <c r="G158" s="324" t="str">
        <f>'2 lentelė'!E158</f>
        <v>P.B.236</v>
      </c>
      <c r="H158" s="26" t="str">
        <f>'2 lentelė'!F158</f>
        <v>Gyventojai, turintys galimybę pasinaudoti pagerintomis sveikatos priežiūros paslaugomis</v>
      </c>
      <c r="I158" s="161">
        <f>'2 lentelė'!G158</f>
        <v>1615</v>
      </c>
      <c r="J158" s="52">
        <v>1455</v>
      </c>
      <c r="K158" s="148">
        <v>1615</v>
      </c>
      <c r="L158" s="324" t="str">
        <f>'2 lentelė'!H158</f>
        <v>P.S.363</v>
      </c>
      <c r="M158" s="26" t="str">
        <f>'2 lentelė'!I158</f>
        <v>Viešąsias sveikatos priežiūros paslaugas teikiančių asmens sveikatos priežiūros įstaigų, kuriose modernizuota paslaugų teikimo infrastruktūra, skaičius</v>
      </c>
      <c r="N158" s="161">
        <f>'2 lentelė'!J158</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1.25" x14ac:dyDescent="0.25">
      <c r="B159" s="29" t="str">
        <f>'1 lentelė'!$B161</f>
        <v>3.2.1.1.7</v>
      </c>
      <c r="C159" s="29" t="str">
        <f>'1 lentelė'!$C161</f>
        <v>R096609-270000-3242</v>
      </c>
      <c r="D159" s="29" t="str">
        <f>'1 lentelė'!$D161</f>
        <v>Pirminės asmens sveikatos priežiūros paslaugų kokybės ir prieinamumo gerinimas Zarasų rajono savivaldybėje</v>
      </c>
      <c r="E159" s="33" t="s">
        <v>66</v>
      </c>
      <c r="F159" s="154" t="s">
        <v>983</v>
      </c>
      <c r="G159" s="324" t="str">
        <f>'2 lentelė'!E159</f>
        <v>P.B.236</v>
      </c>
      <c r="H159" s="26" t="str">
        <f>'2 lentelė'!F159</f>
        <v>Gyventojai, turintys galimybę pasinaudoti pagerintomis sveikatos priežiūros paslaugomis</v>
      </c>
      <c r="I159" s="161">
        <f>'2 lentelė'!G159</f>
        <v>13690</v>
      </c>
      <c r="J159" s="52">
        <v>13690</v>
      </c>
      <c r="K159" s="148">
        <v>0</v>
      </c>
      <c r="L159" s="324" t="str">
        <f>'2 lentelė'!H159</f>
        <v>P.S.363</v>
      </c>
      <c r="M159" s="26" t="str">
        <f>'2 lentelė'!I159</f>
        <v>Viešąsias sveikatos priežiūros paslaugas teikiančių asmens sveikatos priežiūros įstaigų, kuriose modernizuota paslaugų teikimo infrastruktūra, skaičius</v>
      </c>
      <c r="N159" s="161">
        <f>'2 lentelė'!J159</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1.25" x14ac:dyDescent="0.25">
      <c r="B160" s="29" t="str">
        <f>'1 lentelė'!$B162</f>
        <v>3.2.1.1.8</v>
      </c>
      <c r="C160" s="29" t="str">
        <f>'1 lentelė'!$C162</f>
        <v>R096609-270000-3243</v>
      </c>
      <c r="D160" s="29" t="str">
        <f>'1 lentelė'!$D162</f>
        <v>Pirminės asmens sveikatos priežiūros veiklos efektyvumo didinimas VšĮ Visagino  pirminės sveikatos priežiūros centre</v>
      </c>
      <c r="E160" s="33" t="s">
        <v>66</v>
      </c>
      <c r="F160" s="118" t="s">
        <v>984</v>
      </c>
      <c r="G160" s="324" t="str">
        <f>'2 lentelė'!E160</f>
        <v>P.B.236</v>
      </c>
      <c r="H160" s="26" t="str">
        <f>'2 lentelė'!F160</f>
        <v>Gyventojai, turintys galimybę pasinaudoti pagerintomis sveikatos priežiūros paslaugomis</v>
      </c>
      <c r="I160" s="161">
        <f>'2 lentelė'!G160</f>
        <v>12890</v>
      </c>
      <c r="J160" s="52">
        <v>12890</v>
      </c>
      <c r="K160" s="148">
        <v>0</v>
      </c>
      <c r="L160" s="324" t="str">
        <f>'2 lentelė'!H160</f>
        <v>P.S.363</v>
      </c>
      <c r="M160" s="26" t="str">
        <f>'2 lentelė'!I160</f>
        <v>Viešąsias sveikatos priežiūros paslaugas teikiančių asmens sveikatos priežiūros įstaigų, kuriose modernizuota paslaugų teikimo infrastruktūra, skaičius</v>
      </c>
      <c r="N160" s="161">
        <f>'2 lentelė'!J160</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25">
      <c r="B161" s="29" t="str">
        <f>'1 lentelė'!$B163</f>
        <v>3.2.1.1.9</v>
      </c>
      <c r="C161" s="29" t="str">
        <f>'1 lentelė'!$C163</f>
        <v>R096609-270000-3244</v>
      </c>
      <c r="D161" s="29" t="str">
        <f>'1 lentelė'!$D163</f>
        <v>Asmens sveikatos priežiūros  kokybės gerinimas Utenos rajono gyventojams</v>
      </c>
      <c r="E161" s="33" t="s">
        <v>66</v>
      </c>
      <c r="F161" s="118" t="s">
        <v>66</v>
      </c>
      <c r="G161" s="324" t="str">
        <f>'2 lentelė'!E161</f>
        <v>P.B.236</v>
      </c>
      <c r="H161" s="26" t="str">
        <f>'2 lentelė'!F161</f>
        <v>Gyventojai, turintys galimybę pasinaudoti pagerintomis sveikatos priežiūros paslaugomis</v>
      </c>
      <c r="I161" s="161">
        <f>'2 lentelė'!G161</f>
        <v>1063</v>
      </c>
      <c r="J161" s="52">
        <v>0</v>
      </c>
      <c r="K161" s="148">
        <v>0</v>
      </c>
      <c r="L161" s="324" t="str">
        <f>'2 lentelė'!H161</f>
        <v>P.S.363</v>
      </c>
      <c r="M161" s="26" t="str">
        <f>'2 lentelė'!I161</f>
        <v>Viešąsias sveikatos priežiūros paslaugas teikiančių asmens sveikatos priežiūros įstaigų, kuriose modernizuota paslaugų teikimo infrastruktūra, skaičius</v>
      </c>
      <c r="N161" s="161">
        <f>'2 lentelė'!J161</f>
        <v>1</v>
      </c>
      <c r="O161" s="52">
        <v>0</v>
      </c>
      <c r="P161" s="148">
        <v>0</v>
      </c>
      <c r="Q161" s="267"/>
      <c r="R161" s="23"/>
      <c r="S161" s="23"/>
      <c r="T161" s="52"/>
      <c r="U161" s="148"/>
      <c r="V161" s="279"/>
      <c r="W161" s="31"/>
      <c r="X161" s="23"/>
      <c r="Y161" s="26"/>
      <c r="Z161" s="120"/>
      <c r="AA161" s="268"/>
      <c r="AB161" s="48"/>
      <c r="AC161" s="48"/>
      <c r="AD161" s="64"/>
      <c r="AE161" s="135"/>
      <c r="AF161" s="268"/>
      <c r="AG161" s="48"/>
      <c r="AH161" s="48"/>
      <c r="AI161" s="64"/>
      <c r="AJ161" s="135"/>
      <c r="AK161" s="6"/>
    </row>
    <row r="162" spans="2:37" ht="147" customHeight="1" x14ac:dyDescent="0.25">
      <c r="B162" s="53" t="str">
        <f>'1 lentelė'!$B164</f>
        <v>3.2.1.2</v>
      </c>
      <c r="C162" s="53"/>
      <c r="D162" s="77" t="str">
        <f>'1 lentelė'!$D164</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28.75" customHeight="1" x14ac:dyDescent="0.25">
      <c r="B163" s="29" t="str">
        <f>'1 lentelė'!$B165</f>
        <v>3.2.1.2.1</v>
      </c>
      <c r="C163" s="29" t="str">
        <f>'1 lentelė'!$C165</f>
        <v>R096615-470000-3201</v>
      </c>
      <c r="D163" s="29" t="str">
        <f>'1 lentelė'!$D165</f>
        <v>Tuberkuliozės gydymo skatinimas Anykščių rajono
savivaldybėje</v>
      </c>
      <c r="E163" s="33" t="s">
        <v>66</v>
      </c>
      <c r="F163" s="154" t="s">
        <v>985</v>
      </c>
      <c r="G163" s="324" t="str">
        <f>'2 lentelė'!E163</f>
        <v>P.N.604</v>
      </c>
      <c r="H163" s="26" t="str">
        <f>'2 lentelė'!F163</f>
        <v>,,Tuberkulioze sergantys pacientai, kuriems buvo suteiktos socialinės paramos priemonės (maisto talonų dalijimas ir (arba) kelionės išlaidų kompensavimas) tuberkuliozės ambulatorinio gydymo metu“</v>
      </c>
      <c r="I163" s="161">
        <f>'2 lentelė'!G163</f>
        <v>32</v>
      </c>
      <c r="J163" s="52">
        <v>32</v>
      </c>
      <c r="K163" s="148">
        <v>19</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31" customHeight="1" x14ac:dyDescent="0.25">
      <c r="B164" s="29" t="str">
        <f>'1 lentelė'!$B166</f>
        <v>3.2.1.2.2</v>
      </c>
      <c r="C164" s="29" t="str">
        <f>'1 lentelė'!$C166</f>
        <v>R096615-470000-3202</v>
      </c>
      <c r="D164" s="29" t="str">
        <f>'1 lentelė'!$D166</f>
        <v>Sergamumo ir mirtingumo mažinimas nuo tuberkuliozės Ignalinos rajone</v>
      </c>
      <c r="E164" s="33" t="s">
        <v>66</v>
      </c>
      <c r="F164" s="154" t="s">
        <v>986</v>
      </c>
      <c r="G164" s="324" t="str">
        <f>'2 lentelė'!E164</f>
        <v>P.N.604</v>
      </c>
      <c r="H164" s="26" t="str">
        <f>'2 lentelė'!F164</f>
        <v>,,Tuberkulioze sergantys pacientai, kuriems buvo suteiktos socialinės paramos priemonės (maisto talonų dalijimas ir (arba) kelionės išlaidų kompensavimas) tuberkuliozės ambulatorinio gydymo metu“</v>
      </c>
      <c r="I164" s="161">
        <f>'2 lentelė'!G164</f>
        <v>15</v>
      </c>
      <c r="J164" s="52">
        <v>15</v>
      </c>
      <c r="K164" s="148">
        <v>5</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32.5" customHeight="1" x14ac:dyDescent="0.25">
      <c r="B165" s="29" t="str">
        <f>'1 lentelė'!$B167</f>
        <v>3.2.1.2.3</v>
      </c>
      <c r="C165" s="29" t="str">
        <f>'1 lentelė'!$C167</f>
        <v>R096615-470000-3203</v>
      </c>
      <c r="D165" s="29" t="str">
        <f>'1 lentelė'!$D167</f>
        <v>Paslaugų prieinamumo priemonių tuberkulioze sergantiems asmenims įgyvendinimas  Molėtų rajone</v>
      </c>
      <c r="E165" s="33" t="s">
        <v>66</v>
      </c>
      <c r="F165" s="154" t="s">
        <v>987</v>
      </c>
      <c r="G165" s="324" t="str">
        <f>'2 lentelė'!E165</f>
        <v>P.N.604</v>
      </c>
      <c r="H165" s="26" t="str">
        <f>'2 lentelė'!F165</f>
        <v>,,Tuberkulioze sergantys pacientai, kuriems buvo suteiktos socialinės paramos priemonės (maisto talonų dalijimas ir (arba) kelionės išlaidų kompensavimas) tuberkuliozės ambulatorinio gydymo metu“</v>
      </c>
      <c r="I165" s="161">
        <f>'2 lentelė'!G165</f>
        <v>19</v>
      </c>
      <c r="J165" s="52">
        <v>19</v>
      </c>
      <c r="K165" s="148">
        <v>4</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25">
      <c r="B166" s="29" t="str">
        <f>'1 lentelė'!$B168</f>
        <v>3.2.1.2.4</v>
      </c>
      <c r="C166" s="29" t="str">
        <f>'1 lentelė'!$C168</f>
        <v>R096615-470000-3204</v>
      </c>
      <c r="D166" s="29" t="str">
        <f>'1 lentelė'!$D168</f>
        <v>Priemonių, gerinančių ambulatorinių sveikatos priežiūros paslaugų prieinamumą tuberkulioze sergantiems asmenims, įgyvendinimas Utenos rajone</v>
      </c>
      <c r="E166" s="33" t="s">
        <v>66</v>
      </c>
      <c r="F166" s="154" t="s">
        <v>988</v>
      </c>
      <c r="G166" s="324" t="str">
        <f>'2 lentelė'!E166</f>
        <v>P.N.604</v>
      </c>
      <c r="H166" s="26" t="str">
        <f>'2 lentelė'!F166</f>
        <v>,,Tuberkulioze sergantys pacientai, kuriems buvo suteiktos socialinės paramos priemonės (maisto talonų dalijimas ir (arba) kelionės išlaidų kompensavimas) tuberkuliozės ambulatorinio gydymo metu“</v>
      </c>
      <c r="I166" s="161">
        <f>'2 lentelė'!G166</f>
        <v>13</v>
      </c>
      <c r="J166" s="52">
        <v>13</v>
      </c>
      <c r="K166" s="148">
        <v>5</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42.25" x14ac:dyDescent="0.25">
      <c r="B167" s="29" t="str">
        <f>'1 lentelė'!$B169</f>
        <v>3.2.1.2.5</v>
      </c>
      <c r="C167" s="29" t="str">
        <f>'1 lentelė'!$C169</f>
        <v>R096615-470000-3205</v>
      </c>
      <c r="D167" s="29" t="str">
        <f>'1 lentelė'!$D169</f>
        <v>Sergamumo ir mirtingumo mažinimas nuo tuberkuliozės Visagino savivaldybėje</v>
      </c>
      <c r="E167" s="33" t="s">
        <v>66</v>
      </c>
      <c r="F167" s="118" t="s">
        <v>989</v>
      </c>
      <c r="G167" s="324" t="str">
        <f>'2 lentelė'!E167</f>
        <v>P.N.604</v>
      </c>
      <c r="H167" s="26" t="str">
        <f>'2 lentelė'!F167</f>
        <v>,,Tuberkulioze sergantys pacientai, kuriems buvo suteiktos socialinės paramos priemonės (maisto talonų dalijimas ir (arba) kelionės išlaidų kompensavimas) tuberkuliozės ambulatorinio gydymo metu“</v>
      </c>
      <c r="I167" s="161">
        <f>'2 lentelė'!G167</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28" customHeight="1" x14ac:dyDescent="0.25">
      <c r="B168" s="29" t="str">
        <f>'1 lentelė'!$B170</f>
        <v>3.2.1.2.6</v>
      </c>
      <c r="C168" s="29" t="str">
        <f>'1 lentelė'!$C170</f>
        <v>R096615-470000-3206</v>
      </c>
      <c r="D168" s="29" t="str">
        <f>'1 lentelė'!$D170</f>
        <v>Priemonių, gerinančių ambulatorinių sveikatos priežiūros paslaugų prieinamumą tuberkulioze sergantiems asmenims, įgyvendinimas Zarasų rajono savivaldybėje</v>
      </c>
      <c r="E168" s="33" t="s">
        <v>66</v>
      </c>
      <c r="F168" s="154" t="s">
        <v>990</v>
      </c>
      <c r="G168" s="324" t="str">
        <f>'2 lentelė'!E168</f>
        <v>P.N.604</v>
      </c>
      <c r="H168" s="26" t="str">
        <f>'2 lentelė'!F168</f>
        <v>,,Tuberkulioze sergantys pacientai, kuriems buvo suteiktos socialinės paramos priemonės (maisto talonų dalijimas ir (arba) kelionės išlaidų kompensavimas) tuberkuliozės ambulatorinio gydymo metu“</v>
      </c>
      <c r="I168" s="161">
        <f>'2 lentelė'!G168</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25">
      <c r="B169" s="62" t="str">
        <f>'1 lentelė'!$B171</f>
        <v>3.2.2</v>
      </c>
      <c r="C169" s="62"/>
      <c r="D169" s="61" t="str">
        <f>'1 lentelė'!$D171</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25">
      <c r="B170" s="53" t="str">
        <f>'1 lentelė'!$B172</f>
        <v>3.2.2.1</v>
      </c>
      <c r="C170" s="53"/>
      <c r="D170" s="77" t="str">
        <f>'1 lentelė'!$D172</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144.75" customHeight="1" x14ac:dyDescent="0.25">
      <c r="B171" s="29" t="str">
        <f>'1 lentelė'!$B173</f>
        <v>3.2.2.1.1.</v>
      </c>
      <c r="C171" s="29" t="str">
        <f>'1 lentelė'!$C173</f>
        <v>R096630-470000-3207</v>
      </c>
      <c r="D171" s="29" t="str">
        <f>'1 lentelė'!$D173</f>
        <v>Sveikos gyvensenos skatinimas Anykščių rajono savivaldybėje</v>
      </c>
      <c r="E171" s="33" t="s">
        <v>66</v>
      </c>
      <c r="F171" s="154" t="s">
        <v>991</v>
      </c>
      <c r="G171" s="324" t="str">
        <f>'2 lentelė'!E171</f>
        <v>P.S.372</v>
      </c>
      <c r="H171" s="26" t="str">
        <f>'2 lentelė'!F171</f>
        <v>Tikslinių grupių asmenys, kurie dalyvavo informavimo, švietimo ir mokymo renginiuose bei sveikatos raštingumą didiniančiose veiklose, skaičius (2018 m.-515)</v>
      </c>
      <c r="I171" s="26">
        <f>'2 lentelė'!G171</f>
        <v>2100</v>
      </c>
      <c r="J171" s="52">
        <v>2100</v>
      </c>
      <c r="K171" s="148">
        <v>1808</v>
      </c>
      <c r="L171" s="324" t="str">
        <f>'2 lentelė'!H171</f>
        <v>P.N.671</v>
      </c>
      <c r="M171" s="26" t="str">
        <f>'2 lentelė'!I171</f>
        <v>„Modernizuoti savivaldybių visuomenės sveikatos biurai“, vnt.</v>
      </c>
      <c r="N171" s="161">
        <f>'2 lentelė'!J171</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191.25" x14ac:dyDescent="0.25">
      <c r="B172" s="29" t="str">
        <f>'1 lentelė'!$B174</f>
        <v>3.2.2.1.2.</v>
      </c>
      <c r="C172" s="29" t="str">
        <f>'1 lentelė'!$C174</f>
        <v>R096630-470000-3208</v>
      </c>
      <c r="D172" s="29" t="str">
        <f>'1 lentelė'!$D174</f>
        <v>Sveikos gyvensenos skatinimas Molėtų rajono savivaldybėje</v>
      </c>
      <c r="E172" s="33" t="s">
        <v>66</v>
      </c>
      <c r="F172" s="154" t="s">
        <v>992</v>
      </c>
      <c r="G172" s="324" t="str">
        <f>'2 lentelė'!E172</f>
        <v>P.S.372</v>
      </c>
      <c r="H172" s="26" t="str">
        <f>'2 lentelė'!F172</f>
        <v>Tikslinių grupių asmenys, kurie dalyvavo informavimo, švietimo ir mokymo renginiuose bei sveikatos raštingumą didiniančiose veiklose, skaičius (2018 m.-468)</v>
      </c>
      <c r="I172" s="26">
        <f>'2 lentelė'!G172</f>
        <v>1782</v>
      </c>
      <c r="J172" s="52">
        <v>1782</v>
      </c>
      <c r="K172" s="148">
        <v>1090</v>
      </c>
      <c r="L172" s="324"/>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197.25" customHeight="1" x14ac:dyDescent="0.25">
      <c r="B173" s="29" t="str">
        <f>'1 lentelė'!$B175</f>
        <v>3.2.2.1.3.</v>
      </c>
      <c r="C173" s="29" t="str">
        <f>'1 lentelė'!$C175</f>
        <v>R096630-470000-3209</v>
      </c>
      <c r="D173" s="29" t="str">
        <f>'1 lentelė'!$D175</f>
        <v>Sveikos gyvensenos skatinimas Utenos rajone</v>
      </c>
      <c r="E173" s="33" t="s">
        <v>66</v>
      </c>
      <c r="F173" s="154" t="s">
        <v>993</v>
      </c>
      <c r="G173" s="324" t="str">
        <f>'2 lentelė'!E173</f>
        <v>P.S.372</v>
      </c>
      <c r="H173" s="26" t="str">
        <f>'2 lentelė'!F173</f>
        <v>Tikslinių grupių asmenys, kurie dalyvavo informavimo, švietimo ir mokymo renginiuose bei sveikatos raštingumą didiniančiose veiklose, skaičius (2018 m.-658)</v>
      </c>
      <c r="I173" s="26">
        <f>'2 lentelė'!G173</f>
        <v>2488</v>
      </c>
      <c r="J173" s="52">
        <v>2488</v>
      </c>
      <c r="K173" s="148">
        <v>1109</v>
      </c>
      <c r="L173" s="324"/>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191.25" x14ac:dyDescent="0.25">
      <c r="B174" s="29" t="str">
        <f>'1 lentelė'!$B176</f>
        <v>3.2.2.1.4.</v>
      </c>
      <c r="C174" s="29" t="str">
        <f>'1 lentelė'!$C176</f>
        <v>R096630-470000-3210</v>
      </c>
      <c r="D174" s="29" t="str">
        <f>'1 lentelė'!$D176</f>
        <v>Sveikos gyvensenos skatinimas Zarasų rajono savivaldybėje</v>
      </c>
      <c r="E174" s="33" t="s">
        <v>66</v>
      </c>
      <c r="F174" s="154" t="s">
        <v>994</v>
      </c>
      <c r="G174" s="324" t="str">
        <f>'2 lentelė'!E174</f>
        <v>P.S.372</v>
      </c>
      <c r="H174" s="26" t="str">
        <f>'2 lentelė'!F174</f>
        <v>Tikslinių grupių asmenys, kurie dalyvavo informavimo, švietimo ir mokymo renginiuose bei sveikatos raštingumą didiniančiose veiklose, skaičius (2018m.- 374)</v>
      </c>
      <c r="I174" s="26">
        <f>'2 lentelė'!G174</f>
        <v>1414</v>
      </c>
      <c r="J174" s="52">
        <v>1414</v>
      </c>
      <c r="K174" s="148">
        <v>1272</v>
      </c>
      <c r="L174" s="324"/>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191.25" x14ac:dyDescent="0.25">
      <c r="B175" s="29" t="str">
        <f>'1 lentelė'!$B177</f>
        <v>3.2.2.1.5.</v>
      </c>
      <c r="C175" s="29" t="str">
        <f>'1 lentelė'!$C177</f>
        <v>R096630-470000-32011</v>
      </c>
      <c r="D175" s="29" t="str">
        <f>'1 lentelė'!$D177</f>
        <v>Sveikos gyvensenos skatinimas Ignalinos rajone</v>
      </c>
      <c r="E175" s="33" t="s">
        <v>66</v>
      </c>
      <c r="F175" s="154" t="s">
        <v>995</v>
      </c>
      <c r="G175" s="324" t="str">
        <f>'2 lentelė'!E175</f>
        <v>P.S.372</v>
      </c>
      <c r="H175" s="26" t="str">
        <f>'2 lentelė'!F175</f>
        <v>Tikslinių grupių asmenys, kurie dalyvavo informavimo, švietimo ir mokymo renginiuose bei sveikatos raštingumą didiniančiose veiklose, skaičius (2018 m. -106)</v>
      </c>
      <c r="I175" s="26">
        <f>'2 lentelė'!G175</f>
        <v>591</v>
      </c>
      <c r="J175" s="26">
        <v>591</v>
      </c>
      <c r="K175" s="120">
        <v>544</v>
      </c>
      <c r="L175" s="324"/>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191.25" x14ac:dyDescent="0.25">
      <c r="B176" s="29" t="str">
        <f>'1 lentelė'!$B178</f>
        <v>3.2.2.1.6.</v>
      </c>
      <c r="C176" s="29" t="str">
        <f>'1 lentelė'!$C178</f>
        <v>R096630-470000-3212</v>
      </c>
      <c r="D176" s="29" t="str">
        <f>'1 lentelė'!$D178</f>
        <v>Vaikų  sveikos  gyvensenos  skatinimas Visagino savivaldybėje</v>
      </c>
      <c r="E176" s="33" t="s">
        <v>66</v>
      </c>
      <c r="F176" s="154" t="s">
        <v>996</v>
      </c>
      <c r="G176" s="324" t="str">
        <f>'2 lentelė'!E176</f>
        <v>P.S.372</v>
      </c>
      <c r="H176" s="26" t="str">
        <f>'2 lentelė'!F176</f>
        <v>Tikslinių grupių asmenys, kurie dalyvavo informavimo, švietimo ir mokymo renginiuose bei sveikatos raštingumą didinančiose veiklose“, skaičius  (2018 m.- 500)</v>
      </c>
      <c r="I176" s="26">
        <f>'2 lentelė'!G176</f>
        <v>1036</v>
      </c>
      <c r="J176" s="52">
        <v>560</v>
      </c>
      <c r="K176" s="148">
        <v>1036</v>
      </c>
      <c r="L176" s="324"/>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65.75" x14ac:dyDescent="0.25">
      <c r="B177" s="29" t="str">
        <f>'1 lentelė'!$B179</f>
        <v>3.2.2.1.7.</v>
      </c>
      <c r="C177" s="29" t="str">
        <f>'1 lentelė'!$C179</f>
        <v>R096630-470000-3236</v>
      </c>
      <c r="D177" s="29" t="str">
        <f>'1 lentelė'!$D179</f>
        <v>Sveikos gyvensenos skatinimas Ignalinos rajone. II etapas</v>
      </c>
      <c r="E177" s="33" t="s">
        <v>66</v>
      </c>
      <c r="F177" s="118" t="s">
        <v>1451</v>
      </c>
      <c r="G177" s="324" t="str">
        <f>'2 lentelė'!E177</f>
        <v>P.S.372</v>
      </c>
      <c r="H177" s="26" t="str">
        <f>'2 lentelė'!F177</f>
        <v>Tikslinių grupių asmenys, kurie dalyvavo informavimo, švietimo ir mokymo renginiuose bei sveikatos raštingumą didinančiose veiklose.</v>
      </c>
      <c r="I177" s="26">
        <f>'2 lentelė'!G177</f>
        <v>219</v>
      </c>
      <c r="J177" s="26">
        <v>219</v>
      </c>
      <c r="K177" s="120">
        <v>56</v>
      </c>
      <c r="L177" s="324"/>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05.75" customHeight="1" x14ac:dyDescent="0.25">
      <c r="B178" s="62" t="str">
        <f>'1 lentelė'!$B180</f>
        <v>3.2.3</v>
      </c>
      <c r="C178" s="62"/>
      <c r="D178" s="61" t="str">
        <f>'1 lentelė'!$D180</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25">
      <c r="B179" s="53" t="str">
        <f>'1 lentelė'!$B181</f>
        <v>3.2.3.1</v>
      </c>
      <c r="C179" s="53"/>
      <c r="D179" s="77" t="str">
        <f>'1 lentelė'!$D181</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27.5" x14ac:dyDescent="0.25">
      <c r="B180" s="29" t="str">
        <f>'1 lentelė'!$B182</f>
        <v>3.2.3.1.1</v>
      </c>
      <c r="C180" s="29" t="str">
        <f>'1 lentelė'!$C182</f>
        <v>R094407-270000-3213</v>
      </c>
      <c r="D180" s="29" t="str">
        <f>'1 lentelė'!$D182</f>
        <v>Anykščių rajono Svėdasų senelių globos namų modernizavimas</v>
      </c>
      <c r="E180" s="33" t="s">
        <v>66</v>
      </c>
      <c r="F180" s="154" t="s">
        <v>997</v>
      </c>
      <c r="G180" s="324" t="str">
        <f>'2 lentelė'!E180</f>
        <v>P.S.361</v>
      </c>
      <c r="H180" s="26" t="str">
        <f>'2 lentelė'!F180</f>
        <v>Investicijas gavę socialinių paslaugų infrastruktūros objektai, vnt.</v>
      </c>
      <c r="I180" s="161">
        <f>'2 lentelė'!G180</f>
        <v>1</v>
      </c>
      <c r="J180" s="52">
        <v>1</v>
      </c>
      <c r="K180" s="148">
        <v>0</v>
      </c>
      <c r="L180" s="324" t="str">
        <f>'2 lentelė'!H180</f>
        <v>P.N.403</v>
      </c>
      <c r="M180" s="26" t="str">
        <f>'2 lentelė'!I180</f>
        <v>Tikslinių grupių asmenys, gavę tiesioginės naudos iš investicijų į socialinių paslaugų infrastruktūrą</v>
      </c>
      <c r="N180" s="161">
        <f>'2 lentelė'!J180</f>
        <v>50</v>
      </c>
      <c r="O180" s="52">
        <v>50</v>
      </c>
      <c r="P180" s="148">
        <v>0</v>
      </c>
      <c r="Q180" s="325" t="str">
        <f>'2 lentelė'!K180</f>
        <v>R.N.404</v>
      </c>
      <c r="R180" s="23" t="str">
        <f>'2 lentelė'!L180</f>
        <v>Investicijas gavusiose įstaigose esančios vietos socialinių paslaugų gavėjams</v>
      </c>
      <c r="S180" s="267">
        <f>'2 lentelė'!M180</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27.5" x14ac:dyDescent="0.25">
      <c r="B181" s="29" t="str">
        <f>'1 lentelė'!$B183</f>
        <v>3.2.3.1.2</v>
      </c>
      <c r="C181" s="29" t="str">
        <f>'1 lentelė'!$C183</f>
        <v>R094407-270000-3214</v>
      </c>
      <c r="D181" s="29" t="str">
        <f>'1 lentelė'!$D183</f>
        <v>Utenos rajono savivaldybės Leliūnų socialinės globos namų modernizavimas</v>
      </c>
      <c r="E181" s="33" t="s">
        <v>66</v>
      </c>
      <c r="F181" s="154" t="s">
        <v>998</v>
      </c>
      <c r="G181" s="324" t="str">
        <f>'2 lentelė'!E181</f>
        <v>P.S.361</v>
      </c>
      <c r="H181" s="26" t="str">
        <f>'2 lentelė'!F181</f>
        <v>Investicijas gavę socialinių paslaugų infrastruktūros objektai, vnt.</v>
      </c>
      <c r="I181" s="161">
        <f>'2 lentelė'!G181</f>
        <v>1</v>
      </c>
      <c r="J181" s="52">
        <v>1</v>
      </c>
      <c r="K181" s="148">
        <v>1</v>
      </c>
      <c r="L181" s="324" t="str">
        <f>'2 lentelė'!H181</f>
        <v>P.N.403</v>
      </c>
      <c r="M181" s="26" t="str">
        <f>'2 lentelė'!I181</f>
        <v>Tikslinių grupių asmenys, gavę tiesioginės naudos iš investicijų į socialinių paslaugų infrastruktūrą</v>
      </c>
      <c r="N181" s="161">
        <f>'2 lentelė'!J181</f>
        <v>0</v>
      </c>
      <c r="O181" s="52">
        <v>43</v>
      </c>
      <c r="P181" s="148">
        <v>0</v>
      </c>
      <c r="Q181" s="325" t="str">
        <f>'2 lentelė'!K181</f>
        <v>R.N.404</v>
      </c>
      <c r="R181" s="23" t="str">
        <f>'2 lentelė'!L181</f>
        <v>Investicijas gavusiose įstaigose esančios vietos socialinių paslaugų gavėjams</v>
      </c>
      <c r="S181" s="267">
        <f>'2 lentelė'!M181</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27.5" x14ac:dyDescent="0.25">
      <c r="B182" s="29" t="str">
        <f>'1 lentelė'!$B184</f>
        <v>3.2.3.1.3</v>
      </c>
      <c r="C182" s="29" t="str">
        <f>'1 lentelė'!$C184</f>
        <v>R094407-270000-3215</v>
      </c>
      <c r="D182" s="29" t="str">
        <f>'1 lentelė'!$D184</f>
        <v>Zarasų rajono socialinių paslaugų centro nakvynės namų modernizavimas ir plėtra</v>
      </c>
      <c r="E182" s="33" t="s">
        <v>66</v>
      </c>
      <c r="F182" s="154" t="s">
        <v>999</v>
      </c>
      <c r="G182" s="324" t="str">
        <f>'2 lentelė'!E182</f>
        <v>P.S.361</v>
      </c>
      <c r="H182" s="26" t="str">
        <f>'2 lentelė'!F182</f>
        <v>Investicijas gavę socialinių paslaugų infrastruktūros objektai, vnt.</v>
      </c>
      <c r="I182" s="161">
        <f>'2 lentelė'!G182</f>
        <v>1</v>
      </c>
      <c r="J182" s="52">
        <v>1</v>
      </c>
      <c r="K182" s="148">
        <v>1</v>
      </c>
      <c r="L182" s="324" t="str">
        <f>'2 lentelė'!H182</f>
        <v>P.N.403</v>
      </c>
      <c r="M182" s="26" t="str">
        <f>'2 lentelė'!I182</f>
        <v>Tikslinių grupių asmenys, gavę tiesioginės naudos iš investicijų į socialinių paslaugų infrastruktūrą</v>
      </c>
      <c r="N182" s="161">
        <f>'2 lentelė'!J182</f>
        <v>0</v>
      </c>
      <c r="O182" s="52">
        <v>18</v>
      </c>
      <c r="P182" s="148">
        <v>0</v>
      </c>
      <c r="Q182" s="325" t="str">
        <f>'2 lentelė'!K182</f>
        <v>R.N.404</v>
      </c>
      <c r="R182" s="23" t="str">
        <f>'2 lentelė'!L182</f>
        <v>Investicijas gavusiose įstaigose esančios vietos socialinių paslaugų gavėjams</v>
      </c>
      <c r="S182" s="267">
        <f>'2 lentelė'!M182</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25">
      <c r="B183" s="29" t="str">
        <f>'1 lentelė'!$B185</f>
        <v>3.2.3.1.4</v>
      </c>
      <c r="C183" s="29" t="str">
        <f>'1 lentelė'!$C185</f>
        <v>R094407-270000-3216</v>
      </c>
      <c r="D183" s="29" t="str">
        <f>'1 lentelė'!$D185</f>
        <v>Apleisto (nenaudojamo) buvusio visuomeninio pastato konversija ir pritaikymas savarankiško gyvenimo namų Visagine įkūrimas</v>
      </c>
      <c r="E183" s="29" t="s">
        <v>65</v>
      </c>
      <c r="F183" s="154" t="s">
        <v>1000</v>
      </c>
      <c r="G183" s="324" t="str">
        <f>'2 lentelė'!E183</f>
        <v>P.S.361</v>
      </c>
      <c r="H183" s="26" t="str">
        <f>'2 lentelė'!F183</f>
        <v>Investicijas gavę socialinių paslaugų infrastruktūros objektai, vnt.</v>
      </c>
      <c r="I183" s="161">
        <f>'2 lentelė'!G183</f>
        <v>1</v>
      </c>
      <c r="J183" s="52">
        <v>1</v>
      </c>
      <c r="K183" s="148">
        <v>0</v>
      </c>
      <c r="L183" s="324" t="str">
        <f>'2 lentelė'!H183</f>
        <v>P.N.403</v>
      </c>
      <c r="M183" s="26" t="str">
        <f>'2 lentelė'!I183</f>
        <v>Tikslinių grupių asmenys, gavę tiesioginės naudos iš investicijų į socialinių paslaugų infrastruktūrą</v>
      </c>
      <c r="N183" s="161">
        <f>'2 lentelė'!J183</f>
        <v>20</v>
      </c>
      <c r="O183" s="52">
        <v>20</v>
      </c>
      <c r="P183" s="148">
        <v>0</v>
      </c>
      <c r="Q183" s="325" t="str">
        <f>'2 lentelė'!K183</f>
        <v>R.N.404</v>
      </c>
      <c r="R183" s="23" t="str">
        <f>'2 lentelė'!L183</f>
        <v>Investicijas gavusiose įstaigose esančios vietos socialinių paslaugų gavėjams</v>
      </c>
      <c r="S183" s="267">
        <f>'2 lentelė'!M183</f>
        <v>16</v>
      </c>
      <c r="T183" s="52">
        <v>16</v>
      </c>
      <c r="U183" s="148">
        <v>0</v>
      </c>
      <c r="V183" s="123"/>
      <c r="W183" s="31"/>
      <c r="X183" s="23"/>
      <c r="Y183" s="23"/>
      <c r="Z183" s="122"/>
      <c r="AA183" s="124"/>
      <c r="AB183" s="48"/>
      <c r="AC183" s="48"/>
      <c r="AD183" s="64"/>
      <c r="AE183" s="135"/>
      <c r="AF183" s="124"/>
      <c r="AG183" s="48"/>
      <c r="AH183" s="48"/>
      <c r="AI183" s="64"/>
      <c r="AJ183" s="135"/>
      <c r="AK183" s="6"/>
    </row>
    <row r="184" spans="2:37" ht="41.25" customHeight="1" x14ac:dyDescent="0.25">
      <c r="B184" s="53" t="str">
        <f>'1 lentelė'!$B186</f>
        <v>3.2.3.2</v>
      </c>
      <c r="C184" s="53"/>
      <c r="D184" s="77" t="str">
        <f>'1 lentelė'!$D186</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25">
      <c r="B185" s="29" t="str">
        <f>'1 lentelė'!$B187</f>
        <v>3.2.3.2.1</v>
      </c>
      <c r="C185" s="29" t="str">
        <f>'1 lentelė'!$C187</f>
        <v>R094408-252600-3217</v>
      </c>
      <c r="D185" s="29" t="str">
        <f>'1 lentelė'!$D187</f>
        <v>Socialinio būsto fondo plėtra Ignalinos rajono savivaldybėje</v>
      </c>
      <c r="E185" s="29" t="s">
        <v>65</v>
      </c>
      <c r="F185" s="132" t="s">
        <v>1001</v>
      </c>
      <c r="G185" s="324" t="str">
        <f>'2 lentelė'!E185</f>
        <v>P.S.362</v>
      </c>
      <c r="H185" s="26" t="str">
        <f>'2 lentelė'!F185</f>
        <v>Naujai įrengti ar įsigyti socialiniai būstai</v>
      </c>
      <c r="I185" s="161">
        <f>'2 lentelė'!G185</f>
        <v>21</v>
      </c>
      <c r="J185" s="23">
        <v>21</v>
      </c>
      <c r="K185" s="122">
        <v>16</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05" customHeight="1" x14ac:dyDescent="0.25">
      <c r="B186" s="29" t="str">
        <f>'1 lentelė'!$B188</f>
        <v>3.2.3.2.2</v>
      </c>
      <c r="C186" s="29" t="str">
        <f>'1 lentelė'!$C188</f>
        <v>R094408-250000-3218</v>
      </c>
      <c r="D186" s="29" t="str">
        <f>'1 lentelė'!$D188</f>
        <v>Bendrabučio tipo pastato, esančio Visagine,  Kosmoso 28, patalpų pritaikymas socialinio būsto įrengimui</v>
      </c>
      <c r="E186" s="29" t="s">
        <v>65</v>
      </c>
      <c r="F186" s="145" t="s">
        <v>1002</v>
      </c>
      <c r="G186" s="324" t="str">
        <f>'2 lentelė'!E186</f>
        <v>P.S.362</v>
      </c>
      <c r="H186" s="26" t="str">
        <f>'2 lentelė'!F186</f>
        <v>Naujai įrengti ar įsigyti socialiniai būstai</v>
      </c>
      <c r="I186" s="161">
        <f>'2 lentelė'!G186</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1.5" customHeight="1" x14ac:dyDescent="0.25">
      <c r="B187" s="29" t="str">
        <f>'1 lentelė'!$B189</f>
        <v>3.2.3.2.3</v>
      </c>
      <c r="C187" s="29" t="str">
        <f>'1 lentelė'!$C189</f>
        <v>R094408-250000-3219</v>
      </c>
      <c r="D187" s="29" t="str">
        <f>'1 lentelė'!$D189</f>
        <v>Socialinio būsto fondo plėtra Anykščių rajono savivaldybėje</v>
      </c>
      <c r="E187" s="33" t="s">
        <v>66</v>
      </c>
      <c r="F187" s="145" t="s">
        <v>1003</v>
      </c>
      <c r="G187" s="324" t="str">
        <f>'2 lentelė'!E187</f>
        <v>P.S.362</v>
      </c>
      <c r="H187" s="26" t="str">
        <f>'2 lentelė'!F187</f>
        <v>Naujai įrengti ar įsigyti socialiniai būstai</v>
      </c>
      <c r="I187" s="161">
        <f>'2 lentelė'!G187</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25">
      <c r="B188" s="29" t="str">
        <f>'1 lentelė'!$B190</f>
        <v>3.2.3.2.4</v>
      </c>
      <c r="C188" s="29" t="str">
        <f>'1 lentelė'!$C190</f>
        <v>R094408-262500-3220</v>
      </c>
      <c r="D188" s="29" t="str">
        <f>'1 lentelė'!$D190</f>
        <v>Socialinio būsto fondo plėtra Molėtų rajono savivaldybėje</v>
      </c>
      <c r="E188" s="33" t="s">
        <v>66</v>
      </c>
      <c r="F188" s="145" t="s">
        <v>1004</v>
      </c>
      <c r="G188" s="324" t="str">
        <f>'2 lentelė'!E188</f>
        <v>P.S.362</v>
      </c>
      <c r="H188" s="26" t="str">
        <f>'2 lentelė'!F188</f>
        <v>Naujai įrengti ar įsigyti socialiniai būstai</v>
      </c>
      <c r="I188" s="161">
        <f>'2 lentelė'!G188</f>
        <v>22</v>
      </c>
      <c r="J188" s="26">
        <v>21</v>
      </c>
      <c r="K188" s="120">
        <v>19</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25">
      <c r="B189" s="29" t="str">
        <f>'1 lentelė'!$B191</f>
        <v>3.2.3.2.5</v>
      </c>
      <c r="C189" s="29" t="str">
        <f>'1 lentelė'!$C191</f>
        <v>R094408-260000-3221</v>
      </c>
      <c r="D189" s="29" t="str">
        <f>'1 lentelė'!$D191</f>
        <v>Socialinio būsto fondo plėtra Zarasų rajono savivaldybėje</v>
      </c>
      <c r="E189" s="33" t="s">
        <v>66</v>
      </c>
      <c r="F189" s="145" t="s">
        <v>1005</v>
      </c>
      <c r="G189" s="324" t="str">
        <f>'2 lentelė'!E189</f>
        <v>P.S.362</v>
      </c>
      <c r="H189" s="26" t="str">
        <f>'2 lentelė'!F189</f>
        <v>Naujai įrengti ar įsigyti socialiniai būstai</v>
      </c>
      <c r="I189" s="161">
        <f>'2 lentelė'!G189</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25">
      <c r="B190" s="29" t="str">
        <f>'1 lentelė'!$B192</f>
        <v>3.2.3.2.6</v>
      </c>
      <c r="C190" s="29" t="str">
        <f>'1 lentelė'!$C192</f>
        <v>R094408-260000-3222</v>
      </c>
      <c r="D190" s="29" t="str">
        <f>'1 lentelė'!$D192</f>
        <v>Socialinio būsto fondo plėtra Utenos rajono savivaldybėje</v>
      </c>
      <c r="E190" s="33" t="s">
        <v>66</v>
      </c>
      <c r="F190" s="145" t="s">
        <v>1006</v>
      </c>
      <c r="G190" s="324" t="str">
        <f>'2 lentelė'!E190</f>
        <v>P.S.362</v>
      </c>
      <c r="H190" s="26" t="str">
        <f>'2 lentelė'!F190</f>
        <v>Naujai įrengti ar įsigyti socialiniai būstai</v>
      </c>
      <c r="I190" s="161">
        <f>'2 lentelė'!G190</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25">
      <c r="B191" s="62" t="str">
        <f>'1 lentelė'!$B193</f>
        <v>3.2.4</v>
      </c>
      <c r="C191" s="62"/>
      <c r="D191" s="61" t="str">
        <f>'1 lentelė'!$D193</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66.75" customHeight="1" x14ac:dyDescent="0.25">
      <c r="B192" s="53" t="str">
        <f>'1 lentelė'!$B194</f>
        <v>3.2.4.1</v>
      </c>
      <c r="C192" s="53"/>
      <c r="D192" s="77" t="str">
        <f>'1 lentelė'!$D194</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14" customHeight="1" x14ac:dyDescent="0.25">
      <c r="B193" s="29" t="str">
        <f>'1 lentelė'!$B195</f>
        <v>3.2.4.1.1</v>
      </c>
      <c r="C193" s="29" t="str">
        <f>'1 lentelė'!$C195</f>
        <v>R093305-330000-3223</v>
      </c>
      <c r="D193" s="29" t="str">
        <f>'1 lentelė'!$D195</f>
        <v xml:space="preserve">Ignalinos rajono savivaldybės viešosios bibliotekos infrastruktūros pritaikymas vietos bendruomenės poreikiams </v>
      </c>
      <c r="E193" s="29" t="s">
        <v>65</v>
      </c>
      <c r="F193" s="169" t="s">
        <v>1007</v>
      </c>
      <c r="G193" s="324" t="str">
        <f>'2 lentelė'!E193</f>
        <v>P.N.304</v>
      </c>
      <c r="H193" s="26" t="str">
        <f>'2 lentelė'!F193</f>
        <v>Modernizuoti kultūros infrastruktūros objektai, skaičius</v>
      </c>
      <c r="I193" s="161">
        <f>'2 lentelė'!G193</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67.5" customHeight="1" x14ac:dyDescent="0.25">
      <c r="B194" s="29" t="str">
        <f>'1 lentelė'!$B196</f>
        <v>3.2.4.1.2</v>
      </c>
      <c r="C194" s="29" t="str">
        <f>'1 lentelė'!$C196</f>
        <v>R093305-334300-3224</v>
      </c>
      <c r="D194" s="29" t="str">
        <f>'1 lentelė'!$D196</f>
        <v>Renginių infrastruktūros atnaujinimas Zarasų miesto Didžiojoje saloje</v>
      </c>
      <c r="E194" s="29" t="s">
        <v>65</v>
      </c>
      <c r="F194" s="169" t="s">
        <v>1008</v>
      </c>
      <c r="G194" s="324" t="str">
        <f>'2 lentelė'!E194</f>
        <v>P.N.304</v>
      </c>
      <c r="H194" s="26" t="str">
        <f>'2 lentelė'!F194</f>
        <v>Modernizuoti kultūros infrastruktūros objektai, skaičius</v>
      </c>
      <c r="I194" s="161">
        <f>'2 lentelė'!G194</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0.75" customHeight="1" x14ac:dyDescent="0.25">
      <c r="B195" s="29" t="str">
        <f>'1 lentelė'!$B197</f>
        <v>3.2.4.1.3</v>
      </c>
      <c r="C195" s="29" t="str">
        <f>'1 lentelė'!$C197</f>
        <v>R093305-330000-3225</v>
      </c>
      <c r="D195" s="29" t="str">
        <f>'1 lentelė'!$D197</f>
        <v>Molėtų miesto laisvalaikio ir pramogų infrastruktūros atnaujinimas ir plėtra Labanoro g. 1b, Molėtai</v>
      </c>
      <c r="E195" s="29" t="s">
        <v>65</v>
      </c>
      <c r="F195" s="169" t="s">
        <v>1009</v>
      </c>
      <c r="G195" s="324" t="str">
        <f>'2 lentelė'!E195</f>
        <v>P.N.304</v>
      </c>
      <c r="H195" s="26" t="str">
        <f>'2 lentelė'!F195</f>
        <v>Modernizuoti kultūros infrastruktūros objektai, skaičius</v>
      </c>
      <c r="I195" s="161">
        <f>'2 lentelė'!G195</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78.5" customHeight="1" x14ac:dyDescent="0.25">
      <c r="B196" s="29" t="str">
        <f>'1 lentelė'!$B198</f>
        <v>3.2.4.1.4</v>
      </c>
      <c r="C196" s="29" t="str">
        <f>'1 lentelė'!$C198</f>
        <v>R093305-330000-3226</v>
      </c>
      <c r="D196" s="29" t="str">
        <f>'1 lentelė'!$D198</f>
        <v>Buvusios Sedulinos mokyklos pastato pritaikymas Visagino kultūros centro ir bendruomenės reikmėms, įrengiant Kultūros, turizmo ir kūrybinio verslo miestą po vienu stogu.</v>
      </c>
      <c r="E196" s="29" t="s">
        <v>65</v>
      </c>
      <c r="F196" s="169" t="s">
        <v>1010</v>
      </c>
      <c r="G196" s="324" t="str">
        <f>'2 lentelė'!E196</f>
        <v>P.N.304</v>
      </c>
      <c r="H196" s="26" t="str">
        <f>'2 lentelė'!F196</f>
        <v>Modernizuoti kultūros infrastruktūros objektai, skaičius</v>
      </c>
      <c r="I196" s="161">
        <f>'2 lentelė'!G196</f>
        <v>1</v>
      </c>
      <c r="J196" s="52">
        <v>1</v>
      </c>
      <c r="K196" s="148">
        <v>0</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25">
      <c r="B197" s="29" t="str">
        <f>'1 lentelė'!$B199</f>
        <v>3.2.4.1.5</v>
      </c>
      <c r="C197" s="29" t="str">
        <f>'1 lentelė'!$C199</f>
        <v>R093305-330000-3227</v>
      </c>
      <c r="D197" s="29" t="str">
        <f>'1 lentelė'!$D199</f>
        <v>Lietuvos etnokosmologijos muziejaus paslaugų plėtros baigiamasis etapas</v>
      </c>
      <c r="E197" s="29" t="s">
        <v>65</v>
      </c>
      <c r="F197" s="169" t="s">
        <v>1011</v>
      </c>
      <c r="G197" s="324" t="str">
        <f>'2 lentelė'!E197</f>
        <v>P.N.304</v>
      </c>
      <c r="H197" s="26" t="str">
        <f>'2 lentelė'!F197</f>
        <v>Modernizuoti kultūros infrastruktūros objektai, skaičius</v>
      </c>
      <c r="I197" s="161">
        <f>'2 lentelė'!G197</f>
        <v>1</v>
      </c>
      <c r="J197" s="52">
        <v>1</v>
      </c>
      <c r="K197" s="148">
        <v>0</v>
      </c>
      <c r="L197" s="119"/>
      <c r="M197" s="26"/>
      <c r="N197" s="26"/>
      <c r="O197" s="50" t="s">
        <v>220</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63" customHeight="1" x14ac:dyDescent="0.25">
      <c r="B198" s="29" t="str">
        <f>'1 lentelė'!$B200</f>
        <v>3.2.4.1.6</v>
      </c>
      <c r="C198" s="29" t="str">
        <f>'1 lentelė'!$C200</f>
        <v>R093305-330000-3228</v>
      </c>
      <c r="D198" s="29" t="str">
        <f>'1 lentelė'!$D200</f>
        <v>Utenos A. ir M. Miškinių viešosios bibliotekos modernizavimas</v>
      </c>
      <c r="E198" s="29" t="s">
        <v>65</v>
      </c>
      <c r="F198" s="169" t="s">
        <v>1012</v>
      </c>
      <c r="G198" s="324" t="str">
        <f>'2 lentelė'!E198</f>
        <v>P.N.304</v>
      </c>
      <c r="H198" s="26" t="str">
        <f>'2 lentelė'!F198</f>
        <v>Modernizuoti kultūros infrastruktūros objektai, skaičius</v>
      </c>
      <c r="I198" s="161">
        <f>'2 lentelė'!G198</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25">
      <c r="B199" s="61" t="str">
        <f>'1 lentelė'!$B201</f>
        <v>3.2.5</v>
      </c>
      <c r="C199" s="61"/>
      <c r="D199" s="61" t="str">
        <f>'1 lentelė'!$D201</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25">
      <c r="B200" s="53" t="str">
        <f>'1 lentelė'!$B202</f>
        <v>3.2.5.1</v>
      </c>
      <c r="C200" s="53"/>
      <c r="D200" s="170" t="str">
        <f>'1 lentelė'!$D202</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25">
      <c r="B201" s="29" t="str">
        <f>'1 lentelė'!$B203</f>
        <v>3.2.5.1.1</v>
      </c>
      <c r="C201" s="29" t="str">
        <f>'1 lentelė'!$C203</f>
        <v>R099920-490000-3229</v>
      </c>
      <c r="D201" s="29" t="str">
        <f>'1 lentelė'!$D203</f>
        <v>Paslaugų ir asmenų aptarnavimo kokybės gerinimas Visagino  savivaldybėje</v>
      </c>
      <c r="E201" s="33" t="s">
        <v>66</v>
      </c>
      <c r="F201" s="33" t="s">
        <v>1013</v>
      </c>
      <c r="G201" s="324" t="str">
        <f>'2 lentelė'!E201</f>
        <v>P.S.415</v>
      </c>
      <c r="H201" s="26" t="str">
        <f>'2 lentelė'!F201</f>
        <v>Viešojo valdymo institucijos, pagal veiksmų programą ESF lėšomis įgyvendinusios paslaugų ir (ar) aptarnavimo kokybei gerinti skirtas priemones</v>
      </c>
      <c r="I201" s="161">
        <f>'2 lentelė'!G201</f>
        <v>1</v>
      </c>
      <c r="J201" s="26">
        <v>1</v>
      </c>
      <c r="K201" s="120">
        <v>0</v>
      </c>
      <c r="L201" s="324" t="str">
        <f>'2 lentelė'!H201</f>
        <v>P.S.416</v>
      </c>
      <c r="M201" s="26" t="str">
        <f>'2 lentelė'!I201</f>
        <v>Viešojo valdymo institucijų darbuotojai, kurie dalyvavo pagal veiksmų programą ESF lėšomis vykdytose veiklose, skirtose stiprinti teikiamų paslaugų ir (ar) aptarnavimo kokybės gerinimu reikalingas kompetencijas</v>
      </c>
      <c r="N201" s="161">
        <f>'2 lentelė'!J201</f>
        <v>75</v>
      </c>
      <c r="O201" s="26">
        <v>75</v>
      </c>
      <c r="P201" s="120">
        <v>0</v>
      </c>
      <c r="Q201" s="325" t="str">
        <f>'2 lentelė'!K201</f>
        <v>P.N.910</v>
      </c>
      <c r="R201" s="23" t="str">
        <f>'2 lentelė'!L201</f>
        <v>Parengtos piliečių chartijos</v>
      </c>
      <c r="S201" s="267">
        <f>'2 lentelė'!M201</f>
        <v>1</v>
      </c>
      <c r="T201" s="52">
        <v>1</v>
      </c>
      <c r="U201" s="148">
        <v>0</v>
      </c>
      <c r="V201" s="257"/>
      <c r="W201" s="23"/>
      <c r="X201" s="23"/>
      <c r="Y201" s="63"/>
      <c r="Z201" s="52"/>
      <c r="AA201" s="124"/>
      <c r="AB201" s="48"/>
      <c r="AC201" s="48"/>
      <c r="AD201" s="65"/>
      <c r="AE201" s="128"/>
      <c r="AF201" s="124"/>
      <c r="AG201" s="48"/>
      <c r="AH201" s="48"/>
      <c r="AI201" s="65"/>
      <c r="AJ201" s="128"/>
      <c r="AK201" s="27"/>
    </row>
    <row r="202" spans="2:37" ht="271.5" customHeight="1" x14ac:dyDescent="0.25">
      <c r="B202" s="29" t="str">
        <f>'1 lentelė'!$B204</f>
        <v>3.2.5.1.2</v>
      </c>
      <c r="C202" s="29" t="str">
        <f>'1 lentelė'!$C204</f>
        <v>R099920-490000-3230</v>
      </c>
      <c r="D202" s="29" t="str">
        <f>'1 lentelė'!$D204</f>
        <v>Paslaugų ir asmenų aptarnavimo kokybės gerinimas Molėtų rajono savivaldybėje</v>
      </c>
      <c r="E202" s="33" t="s">
        <v>66</v>
      </c>
      <c r="F202" s="33" t="s">
        <v>1014</v>
      </c>
      <c r="G202" s="324" t="str">
        <f>'2 lentelė'!E202</f>
        <v>P.S.415</v>
      </c>
      <c r="H202" s="26" t="str">
        <f>'2 lentelė'!F202</f>
        <v>Viešojo valdymo institucijos, pagal veiksmų programą ESF lėšomis įgyvendinusios paslaugų ir (ar) aptarnavimo kokybei gerinti skirtas priemones</v>
      </c>
      <c r="I202" s="161">
        <f>'2 lentelė'!G202</f>
        <v>1</v>
      </c>
      <c r="J202" s="26">
        <v>1</v>
      </c>
      <c r="K202" s="120">
        <v>0</v>
      </c>
      <c r="L202" s="324" t="str">
        <f>'2 lentelė'!H202</f>
        <v>P.S.416</v>
      </c>
      <c r="M202" s="26" t="str">
        <f>'2 lentelė'!I202</f>
        <v>Viešojo valdymo institucijų darbuotojai, kurie dalyvavo pagal veiksmų programą ESF lėšomis vykdytose veiklose, skirtose stiprinti teikiamų paslaugų ir (ar) aptarnavimo kokybės gerinimu reikalingas kompetencijas</v>
      </c>
      <c r="N202" s="161">
        <f>'2 lentelė'!J202</f>
        <v>40</v>
      </c>
      <c r="O202" s="26">
        <v>40</v>
      </c>
      <c r="P202" s="120">
        <v>88</v>
      </c>
      <c r="Q202" s="325"/>
      <c r="R202" s="23"/>
      <c r="S202" s="267"/>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25">
      <c r="B203" s="29" t="str">
        <f>'1 lentelė'!$B205</f>
        <v xml:space="preserve"> 3.2.5.1.3</v>
      </c>
      <c r="C203" s="29" t="str">
        <f>'1 lentelė'!$C205</f>
        <v>R099920-490000-3231</v>
      </c>
      <c r="D203" s="29" t="str">
        <f>'1 lentelė'!$D205</f>
        <v>Paslaugų ir asmenų aptarnavimo kokybės gerinimas Zarasų rajono savivaldybėje</v>
      </c>
      <c r="E203" s="33" t="s">
        <v>66</v>
      </c>
      <c r="F203" s="33" t="s">
        <v>1015</v>
      </c>
      <c r="G203" s="324" t="str">
        <f>'2 lentelė'!E203</f>
        <v>P.S.415</v>
      </c>
      <c r="H203" s="26" t="str">
        <f>'2 lentelė'!F203</f>
        <v>Viešojo valdymo institucijos, pagal veiksmų programą ESF lėšomis įgyvendinusios paslaugų ir (ar) aptarnavimo kokybei gerinti skirtas priemones</v>
      </c>
      <c r="I203" s="161">
        <f>'2 lentelė'!G203</f>
        <v>13</v>
      </c>
      <c r="J203" s="26">
        <v>13</v>
      </c>
      <c r="K203" s="120">
        <v>13</v>
      </c>
      <c r="L203" s="324" t="str">
        <f>'2 lentelė'!H203</f>
        <v>P.S.416</v>
      </c>
      <c r="M203" s="26" t="str">
        <f>'2 lentelė'!I203</f>
        <v>Viešojo valdymo institucijų darbuotojai, kurie dalyvavo pagal veiksmų programą ESF lėšomis vykdytose veiklose, skirtose stiprinti teikiamų paslaugų ir (ar) aptarnavimo kokybės gerinimu reikalingas kompetencijas</v>
      </c>
      <c r="N203" s="161">
        <f>'2 lentelė'!J203</f>
        <v>25</v>
      </c>
      <c r="O203" s="26">
        <v>25</v>
      </c>
      <c r="P203" s="120">
        <v>29</v>
      </c>
      <c r="Q203" s="121" t="str">
        <f>'2 lentelė'!$K201</f>
        <v>P.N.910</v>
      </c>
      <c r="R203" s="23" t="str">
        <f>'2 lentelė'!$L201</f>
        <v>Parengtos piliečių chartijos</v>
      </c>
      <c r="S203" s="23">
        <f>'2 lentelė'!$M201</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25">
      <c r="B204" s="29" t="str">
        <f>'1 lentelė'!$B206</f>
        <v>3.2.5.1.4</v>
      </c>
      <c r="C204" s="29" t="str">
        <f>'1 lentelė'!$C206</f>
        <v>R099920-490000-3232</v>
      </c>
      <c r="D204" s="29" t="str">
        <f>'1 lentelė'!$D206</f>
        <v>Paslaugų ir asmenų aptarnavimo kokybės gerinimas Utenos rajono savivaldybėje, I etapas</v>
      </c>
      <c r="E204" s="33" t="s">
        <v>66</v>
      </c>
      <c r="F204" s="33" t="s">
        <v>1016</v>
      </c>
      <c r="G204" s="324" t="str">
        <f>'2 lentelė'!E204</f>
        <v>P.S.415</v>
      </c>
      <c r="H204" s="26" t="str">
        <f>'2 lentelė'!F204</f>
        <v>Viešojo valdymo institucijos, pagal veiksmų programą ESF lėšomis įgyvendinusios paslaugų ir (ar) aptarnavimo kokybei gerinti skirtas priemones</v>
      </c>
      <c r="I204" s="161">
        <f>'2 lentelė'!G204</f>
        <v>3</v>
      </c>
      <c r="J204" s="26">
        <v>3</v>
      </c>
      <c r="K204" s="120">
        <v>3</v>
      </c>
      <c r="L204" s="324" t="str">
        <f>'2 lentelė'!H204</f>
        <v>P.S.416</v>
      </c>
      <c r="M204" s="26" t="str">
        <f>'2 lentelė'!I204</f>
        <v>Viešojo valdymo institucijų darbuotojai, kurie dalyvavo pagal veiksmų programą  ESF lėšomis vykdytose veiklose, skirtose stiprinti teikiamų paslaugų ir (ar) aptarnavimo kokybės gerinimui reikalingas kompetencijas</v>
      </c>
      <c r="N204" s="161">
        <f>'2 lentelė'!J204</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25">
      <c r="B205" s="29" t="str">
        <f>'1 lentelė'!$B207</f>
        <v xml:space="preserve"> 3.2.5.1.5</v>
      </c>
      <c r="C205" s="29" t="str">
        <f>'1 lentelė'!$C207</f>
        <v>R099920-490000-3233</v>
      </c>
      <c r="D205" s="29" t="str">
        <f>'1 lentelė'!$D207</f>
        <v>Paslaugų ir asmenų aptarnavimo kokybės gerinimas Anykščių savivaldybėje</v>
      </c>
      <c r="E205" s="33" t="s">
        <v>66</v>
      </c>
      <c r="F205" s="33" t="s">
        <v>1017</v>
      </c>
      <c r="G205" s="324" t="str">
        <f>'2 lentelė'!E205</f>
        <v>P.S.415</v>
      </c>
      <c r="H205" s="26" t="str">
        <f>'2 lentelė'!F205</f>
        <v>Viešojo valdymo institucijos, pagal veiksmų programą ESF lėšomis įgyvendinusios paslaugų ir (ar) aptarnavimo kokybei gerinti skirtas priemones</v>
      </c>
      <c r="I205" s="161">
        <f>'2 lentelė'!G205</f>
        <v>2</v>
      </c>
      <c r="J205" s="26">
        <v>2</v>
      </c>
      <c r="K205" s="120">
        <v>0</v>
      </c>
      <c r="L205" s="324" t="str">
        <f>'2 lentelė'!H205</f>
        <v>P.S.416</v>
      </c>
      <c r="M205" s="26" t="str">
        <f>'2 lentelė'!I205</f>
        <v>Viešojo valdymo institucijų darbuotojai, kurie dalyvavo pagal veiksmų programą  ESF lėšomis vykdytose veiklose, skirtose stiprinti teikiamų paslaugų ir (ar) aptarnavimo kokybės gerinimui reikalingas kompetencijas</v>
      </c>
      <c r="N205" s="161">
        <f>'2 lentelė'!J205</f>
        <v>36</v>
      </c>
      <c r="O205" s="26">
        <v>36</v>
      </c>
      <c r="P205" s="120">
        <v>71</v>
      </c>
      <c r="Q205" s="121" t="str">
        <f>'2 lentelė'!$K203</f>
        <v>P.N.910</v>
      </c>
      <c r="R205" s="23" t="str">
        <f>'2 lentelė'!$L203</f>
        <v>Parengtos piliečių chartijos</v>
      </c>
      <c r="S205" s="23">
        <f>'2 lentelė'!$M203</f>
        <v>1</v>
      </c>
      <c r="T205" s="52">
        <v>1</v>
      </c>
      <c r="U205" s="148">
        <v>0</v>
      </c>
      <c r="V205" s="257"/>
      <c r="W205" s="258"/>
      <c r="X205" s="23"/>
      <c r="Y205" s="63"/>
      <c r="Z205" s="52"/>
      <c r="AA205" s="124"/>
      <c r="AB205" s="48"/>
      <c r="AC205" s="48"/>
      <c r="AD205" s="65"/>
      <c r="AE205" s="128"/>
      <c r="AF205" s="124"/>
      <c r="AG205" s="48"/>
      <c r="AH205" s="48"/>
      <c r="AI205" s="65"/>
      <c r="AJ205" s="128"/>
      <c r="AK205" s="27"/>
    </row>
    <row r="206" spans="2:37" ht="270.75" customHeight="1" x14ac:dyDescent="0.25">
      <c r="B206" s="29" t="str">
        <f>'1 lentelė'!$B208</f>
        <v xml:space="preserve"> 3.2.5.1.6</v>
      </c>
      <c r="C206" s="29" t="str">
        <f>'1 lentelė'!$C208</f>
        <v>R099920-490000-3234</v>
      </c>
      <c r="D206" s="29" t="str">
        <f>'1 lentelė'!$D208</f>
        <v>Paslaugų ir asmenų aptarnavimo kokybės gerinimas Ignalinos rajono savivaldybėje</v>
      </c>
      <c r="E206" s="33" t="s">
        <v>66</v>
      </c>
      <c r="F206" s="33" t="s">
        <v>1018</v>
      </c>
      <c r="G206" s="324" t="str">
        <f>'2 lentelė'!E206</f>
        <v>P.S.415</v>
      </c>
      <c r="H206" s="26" t="str">
        <f>'2 lentelė'!F206</f>
        <v>Viešojo valdymo institucijos, pagal veiksmų programą ESF lėšomis įgyvendinusios paslaugų ir (ar) aptarnavimo kokybei gerinti skirtas priemones</v>
      </c>
      <c r="I206" s="161">
        <f>'2 lentelė'!G206</f>
        <v>2</v>
      </c>
      <c r="J206" s="26">
        <v>2</v>
      </c>
      <c r="K206" s="120">
        <v>0</v>
      </c>
      <c r="L206" s="324" t="str">
        <f>'2 lentelė'!H206</f>
        <v>P.S.416</v>
      </c>
      <c r="M206" s="26" t="str">
        <f>'2 lentelė'!I206</f>
        <v>Viešojo valdymo institucijų darbuotojai, kurie dalyvavo pagal veiksmų programą  ESF lėšomis vykdytose veiklose, skirtose stiprinti teikiamų paslaugų ir (ar) aptarnavimo kokybės gerinimui reikalingas kompetencijas</v>
      </c>
      <c r="N206" s="161">
        <f>'2 lentelė'!J206</f>
        <v>85</v>
      </c>
      <c r="O206" s="26">
        <v>85</v>
      </c>
      <c r="P206" s="120">
        <v>94</v>
      </c>
      <c r="Q206" s="121" t="str">
        <f>'2 lentelė'!K206</f>
        <v>P.N.910</v>
      </c>
      <c r="R206" s="121" t="str">
        <f>'2 lentelė'!L206</f>
        <v>Parengtos piliečių chartijos</v>
      </c>
      <c r="S206" s="121">
        <f>'2 lentelė'!M206</f>
        <v>1</v>
      </c>
      <c r="T206" s="26">
        <v>1</v>
      </c>
      <c r="U206" s="120">
        <v>0</v>
      </c>
      <c r="V206" s="121"/>
      <c r="W206" s="23"/>
      <c r="X206" s="23"/>
      <c r="Y206" s="63"/>
      <c r="Z206" s="52"/>
      <c r="AA206" s="124"/>
      <c r="AB206" s="48"/>
      <c r="AC206" s="48"/>
      <c r="AD206" s="26"/>
      <c r="AE206" s="120"/>
      <c r="AF206" s="124"/>
      <c r="AG206" s="48"/>
      <c r="AH206" s="48"/>
      <c r="AI206" s="65"/>
      <c r="AJ206" s="128"/>
      <c r="AK206" s="27"/>
    </row>
    <row r="207" spans="2:37" ht="273" customHeight="1" x14ac:dyDescent="0.25">
      <c r="B207" s="29" t="str">
        <f>'1 lentelė'!$B209</f>
        <v>3.2.5.1.8</v>
      </c>
      <c r="C207" s="29" t="str">
        <f>'1 lentelė'!$C209</f>
        <v>R099920-490000-3236</v>
      </c>
      <c r="D207" s="29" t="str">
        <f>'1 lentelė'!$D209</f>
        <v>Paslaugų ir asmenų aptarnavimo kokybės gerinimas Utenos rajono seniūnijose</v>
      </c>
      <c r="E207" s="33" t="s">
        <v>66</v>
      </c>
      <c r="F207" s="280" t="s">
        <v>1510</v>
      </c>
      <c r="G207" s="324" t="str">
        <f>'2 lentelė'!E207</f>
        <v>P.S.415</v>
      </c>
      <c r="H207" s="26" t="str">
        <f>'2 lentelė'!F207</f>
        <v>Viešojo valdymo institucijos, pagal veiksmų programą ESF lėšomis įgyvendinusios paslaugų ir (ar) aptarnavimo kokybei gerinti skirtas priemones</v>
      </c>
      <c r="I207" s="161">
        <v>1</v>
      </c>
      <c r="J207" s="26">
        <v>1</v>
      </c>
      <c r="K207" s="120">
        <v>0</v>
      </c>
      <c r="L207" s="324" t="str">
        <f>'2 lentelė'!H207</f>
        <v>P.S.416</v>
      </c>
      <c r="M207" s="26" t="str">
        <f>'2 lentelė'!I207</f>
        <v>Viešojo valdymo institucijų darbuotojai, kurie dalyvavo pagal veiksmų programą  ESF lėšomis vykdytose veiklose, skirtose stiprinti teikiamų paslaugų ir (ar) aptarnavimo kokybės gerinimui reikalingas kompetencijas</v>
      </c>
      <c r="N207" s="161">
        <f>'2 lentelė'!J207</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2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25">
      <c r="B209" s="382" t="s">
        <v>884</v>
      </c>
      <c r="C209" s="383"/>
      <c r="D209" s="383"/>
      <c r="E209" s="383"/>
      <c r="F209" s="383"/>
      <c r="G209" s="383"/>
      <c r="H209" s="383"/>
      <c r="I209" s="383"/>
      <c r="J209" s="383"/>
      <c r="K209" s="383"/>
      <c r="L209" s="383"/>
      <c r="M209" s="383"/>
      <c r="N209" s="383"/>
      <c r="O209" s="383"/>
      <c r="P209" s="383"/>
      <c r="Q209" s="383"/>
      <c r="R209" s="383"/>
      <c r="S209" s="383"/>
      <c r="T209" s="383"/>
      <c r="U209" s="383"/>
      <c r="V209" s="383"/>
      <c r="W209" s="383"/>
      <c r="X209" s="383"/>
      <c r="Y209" s="383"/>
      <c r="Z209" s="383"/>
      <c r="AA209" s="383"/>
      <c r="AB209" s="383"/>
      <c r="AC209" s="383"/>
      <c r="AD209" s="383"/>
      <c r="AE209" s="383"/>
      <c r="AF209" s="383"/>
      <c r="AG209" s="383"/>
      <c r="AH209" s="173"/>
      <c r="AI209" s="173"/>
    </row>
    <row r="213" spans="2:41" x14ac:dyDescent="0.2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25">
      <c r="B214" s="260" t="s">
        <v>859</v>
      </c>
      <c r="C214" s="260"/>
      <c r="D214" s="260"/>
      <c r="E214" s="260"/>
      <c r="F214" s="260"/>
      <c r="G214" s="260"/>
      <c r="H214" s="2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4"/>
      <c r="AL214" s="274"/>
      <c r="AM214" s="274"/>
      <c r="AN214" s="274"/>
      <c r="AO214" s="274"/>
    </row>
    <row r="224" spans="2:41" x14ac:dyDescent="0.25">
      <c r="K224" s="1" t="s">
        <v>220</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06" t="s">
        <v>1019</v>
      </c>
      <c r="N1" s="2"/>
      <c r="U1" s="2"/>
    </row>
    <row r="2" spans="2:21" ht="15.75" x14ac:dyDescent="0.25">
      <c r="C2" s="314" t="s">
        <v>1342</v>
      </c>
      <c r="N2" s="3"/>
      <c r="U2" s="3"/>
    </row>
    <row r="3" spans="2:21" ht="15.75" x14ac:dyDescent="0.25">
      <c r="C3" s="314" t="s">
        <v>1343</v>
      </c>
      <c r="N3" s="3"/>
      <c r="U3" s="3"/>
    </row>
    <row r="4" spans="2:21" ht="15.75" x14ac:dyDescent="0.25">
      <c r="C4" s="82"/>
      <c r="N4" s="3"/>
      <c r="U4" s="3"/>
    </row>
    <row r="5" spans="2:21" ht="15.75" x14ac:dyDescent="0.25">
      <c r="B5" s="395" t="s">
        <v>1020</v>
      </c>
      <c r="C5" s="395"/>
      <c r="D5" s="82"/>
      <c r="N5" s="3"/>
      <c r="U5" s="3"/>
    </row>
    <row r="6" spans="2:21" ht="15.75" x14ac:dyDescent="0.25">
      <c r="B6" s="396" t="s">
        <v>1021</v>
      </c>
      <c r="C6" s="396"/>
      <c r="E6" s="4"/>
      <c r="F6" s="4"/>
      <c r="G6" s="4"/>
      <c r="H6" s="4"/>
    </row>
    <row r="7" spans="2:21" ht="15.75" x14ac:dyDescent="0.25">
      <c r="B7" s="307" t="s">
        <v>1022</v>
      </c>
      <c r="C7" s="308" t="s">
        <v>1023</v>
      </c>
      <c r="D7" s="175"/>
    </row>
    <row r="8" spans="2:21" ht="15.75" x14ac:dyDescent="0.25">
      <c r="B8" s="397" t="s">
        <v>1024</v>
      </c>
      <c r="C8" s="398"/>
      <c r="D8" s="176"/>
    </row>
    <row r="9" spans="2:21" ht="36.75" customHeight="1" x14ac:dyDescent="0.25">
      <c r="B9" s="313" t="s">
        <v>1322</v>
      </c>
      <c r="C9" s="311" t="s">
        <v>1344</v>
      </c>
      <c r="D9" s="79"/>
    </row>
    <row r="10" spans="2:21" ht="31.5" x14ac:dyDescent="0.25">
      <c r="B10" s="311" t="s">
        <v>1300</v>
      </c>
      <c r="C10" s="310" t="s">
        <v>1347</v>
      </c>
      <c r="D10" s="79"/>
    </row>
    <row r="11" spans="2:21" ht="79.5" hidden="1" customHeight="1" x14ac:dyDescent="0.25">
      <c r="B11" s="310" t="s">
        <v>1288</v>
      </c>
      <c r="C11" s="310" t="s">
        <v>1299</v>
      </c>
      <c r="D11" s="79"/>
    </row>
    <row r="12" spans="2:21" ht="31.5" x14ac:dyDescent="0.25">
      <c r="B12" s="310" t="s">
        <v>1301</v>
      </c>
      <c r="C12" s="310" t="s">
        <v>1348</v>
      </c>
      <c r="D12" s="79"/>
      <c r="E12" s="38">
        <f>18+21+24+17+23</f>
        <v>103</v>
      </c>
    </row>
    <row r="13" spans="2:21" ht="31.5" x14ac:dyDescent="0.25">
      <c r="B13" s="310" t="s">
        <v>1302</v>
      </c>
      <c r="C13" s="310" t="s">
        <v>1298</v>
      </c>
      <c r="D13" s="79"/>
    </row>
    <row r="14" spans="2:21" ht="82.5" customHeight="1" x14ac:dyDescent="0.25">
      <c r="B14" s="310" t="s">
        <v>1321</v>
      </c>
      <c r="C14" s="310" t="s">
        <v>1349</v>
      </c>
      <c r="D14" s="79"/>
    </row>
    <row r="15" spans="2:21" ht="15.75" x14ac:dyDescent="0.25">
      <c r="B15" s="391" t="s">
        <v>1025</v>
      </c>
      <c r="C15" s="392"/>
      <c r="D15" s="176"/>
    </row>
    <row r="16" spans="2:21" ht="50.25" customHeight="1" x14ac:dyDescent="0.25">
      <c r="B16" s="310" t="s">
        <v>1303</v>
      </c>
      <c r="C16" s="310" t="s">
        <v>1350</v>
      </c>
      <c r="D16" s="290">
        <f>901.5/688.5</f>
        <v>1.3093681917211328</v>
      </c>
      <c r="E16" s="38" t="s">
        <v>1280</v>
      </c>
      <c r="F16" s="38" t="s">
        <v>1274</v>
      </c>
      <c r="G16" s="38" t="s">
        <v>1275</v>
      </c>
      <c r="H16" s="38" t="s">
        <v>1276</v>
      </c>
      <c r="I16" s="302" t="s">
        <v>1277</v>
      </c>
      <c r="J16" s="302" t="s">
        <v>1278</v>
      </c>
      <c r="K16" s="302" t="s">
        <v>1279</v>
      </c>
      <c r="L16" s="38"/>
    </row>
    <row r="17" spans="2:12" ht="82.5" customHeight="1" x14ac:dyDescent="0.25">
      <c r="B17" s="310" t="s">
        <v>1304</v>
      </c>
      <c r="C17" s="310" t="s">
        <v>1351</v>
      </c>
      <c r="D17" s="79"/>
      <c r="E17" s="296">
        <f>11.7/8.4*100</f>
        <v>139.28571428571428</v>
      </c>
    </row>
    <row r="18" spans="2:12" ht="63" x14ac:dyDescent="0.25">
      <c r="B18" s="310" t="s">
        <v>1323</v>
      </c>
      <c r="C18" s="310" t="s">
        <v>1352</v>
      </c>
      <c r="D18" s="290">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31.5" customHeight="1" x14ac:dyDescent="0.25">
      <c r="B19" s="310" t="s">
        <v>1320</v>
      </c>
      <c r="C19" s="310" t="s">
        <v>1283</v>
      </c>
      <c r="D19" s="290">
        <f>E19/124965*100</f>
        <v>0</v>
      </c>
      <c r="E19" s="38"/>
    </row>
    <row r="20" spans="2:12" ht="34.5" customHeight="1" x14ac:dyDescent="0.25">
      <c r="B20" s="310" t="s">
        <v>1305</v>
      </c>
      <c r="C20" s="310" t="s">
        <v>1353</v>
      </c>
      <c r="D20" s="79"/>
    </row>
    <row r="21" spans="2:12" ht="48.75" customHeight="1" x14ac:dyDescent="0.25">
      <c r="B21" s="310" t="s">
        <v>1324</v>
      </c>
      <c r="C21" s="310" t="s">
        <v>1354</v>
      </c>
      <c r="D21" s="79"/>
    </row>
    <row r="22" spans="2:12" ht="31.5" x14ac:dyDescent="0.25">
      <c r="B22" s="310" t="s">
        <v>1325</v>
      </c>
      <c r="C22" s="310" t="s">
        <v>1290</v>
      </c>
      <c r="D22" s="79"/>
    </row>
    <row r="23" spans="2:12" ht="33.75" customHeight="1" x14ac:dyDescent="0.25">
      <c r="B23" s="310" t="s">
        <v>1326</v>
      </c>
      <c r="C23" s="310" t="s">
        <v>1355</v>
      </c>
      <c r="D23" s="79"/>
    </row>
    <row r="24" spans="2:12" ht="31.5" x14ac:dyDescent="0.25">
      <c r="B24" s="311" t="s">
        <v>1327</v>
      </c>
      <c r="C24" s="310" t="s">
        <v>1356</v>
      </c>
      <c r="D24" s="79"/>
    </row>
    <row r="25" spans="2:12" ht="31.5" x14ac:dyDescent="0.25">
      <c r="B25" s="310" t="s">
        <v>1281</v>
      </c>
      <c r="C25" s="310" t="s">
        <v>1357</v>
      </c>
      <c r="D25" s="79"/>
    </row>
    <row r="26" spans="2:12" ht="47.25" customHeight="1" x14ac:dyDescent="0.25">
      <c r="B26" s="310" t="s">
        <v>1328</v>
      </c>
      <c r="C26" s="310" t="s">
        <v>1358</v>
      </c>
      <c r="D26" s="79"/>
    </row>
    <row r="27" spans="2:12" ht="63" x14ac:dyDescent="0.25">
      <c r="B27" s="310" t="s">
        <v>1329</v>
      </c>
      <c r="C27" s="310" t="s">
        <v>1292</v>
      </c>
      <c r="D27" s="79"/>
    </row>
    <row r="28" spans="2:12" ht="31.5" x14ac:dyDescent="0.25">
      <c r="B28" s="311" t="s">
        <v>1330</v>
      </c>
      <c r="C28" s="310" t="s">
        <v>1291</v>
      </c>
      <c r="D28" s="79"/>
      <c r="E28" s="39">
        <f>616/6206*100</f>
        <v>9.9258781824041264</v>
      </c>
      <c r="F28" s="39">
        <f>3512/6206*100</f>
        <v>56.590396390589746</v>
      </c>
      <c r="G28" s="39">
        <f>2078/6206*100</f>
        <v>33.483725427006121</v>
      </c>
      <c r="H28" s="38"/>
      <c r="I28" s="38"/>
      <c r="J28" s="38"/>
      <c r="K28" s="39">
        <f>E28+F28+G28</f>
        <v>99.999999999999986</v>
      </c>
    </row>
    <row r="29" spans="2:12" ht="47.25" x14ac:dyDescent="0.25">
      <c r="B29" s="311" t="s">
        <v>1331</v>
      </c>
      <c r="C29" s="310" t="s">
        <v>1359</v>
      </c>
      <c r="D29" s="79"/>
    </row>
    <row r="30" spans="2:12" ht="83.25" customHeight="1" x14ac:dyDescent="0.25">
      <c r="B30" s="310" t="s">
        <v>1332</v>
      </c>
      <c r="C30" s="310" t="s">
        <v>1294</v>
      </c>
      <c r="D30" s="79"/>
    </row>
    <row r="31" spans="2:12" ht="273.75" customHeight="1" x14ac:dyDescent="0.25">
      <c r="B31" s="310" t="s">
        <v>1306</v>
      </c>
      <c r="C31" s="234" t="s">
        <v>1360</v>
      </c>
      <c r="D31" s="79"/>
    </row>
    <row r="32" spans="2:12" ht="238.5" customHeight="1" x14ac:dyDescent="0.25">
      <c r="B32" s="310" t="s">
        <v>1333</v>
      </c>
      <c r="C32" s="234" t="s">
        <v>1361</v>
      </c>
      <c r="D32" s="79"/>
    </row>
    <row r="33" spans="2:5" ht="83.25" customHeight="1" x14ac:dyDescent="0.25">
      <c r="B33" s="310" t="s">
        <v>1334</v>
      </c>
      <c r="C33" s="234" t="s">
        <v>1362</v>
      </c>
      <c r="D33" s="79"/>
    </row>
    <row r="34" spans="2:5" ht="21" customHeight="1" x14ac:dyDescent="0.25">
      <c r="B34" s="310" t="s">
        <v>1307</v>
      </c>
      <c r="C34" s="234" t="s">
        <v>1363</v>
      </c>
      <c r="D34" s="79"/>
    </row>
    <row r="35" spans="2:5" ht="31.5" x14ac:dyDescent="0.25">
      <c r="B35" s="310" t="s">
        <v>1335</v>
      </c>
      <c r="C35" s="234" t="s">
        <v>1295</v>
      </c>
      <c r="D35" s="79"/>
    </row>
    <row r="36" spans="2:5" ht="15.75" hidden="1" x14ac:dyDescent="0.25">
      <c r="B36" s="311" t="s">
        <v>1282</v>
      </c>
      <c r="C36" s="312"/>
      <c r="D36" s="79"/>
    </row>
    <row r="37" spans="2:5" ht="31.5" x14ac:dyDescent="0.25">
      <c r="B37" s="310" t="s">
        <v>1336</v>
      </c>
      <c r="C37" s="310" t="s">
        <v>1293</v>
      </c>
      <c r="D37" s="79"/>
    </row>
    <row r="38" spans="2:5" ht="15.75" x14ac:dyDescent="0.25">
      <c r="B38" s="311" t="s">
        <v>1337</v>
      </c>
      <c r="C38" s="310" t="s">
        <v>1296</v>
      </c>
      <c r="D38" s="79"/>
    </row>
    <row r="39" spans="2:5" ht="96" customHeight="1" x14ac:dyDescent="0.25">
      <c r="B39" s="310" t="s">
        <v>1338</v>
      </c>
      <c r="C39" s="310" t="s">
        <v>1297</v>
      </c>
      <c r="D39" s="79"/>
    </row>
    <row r="40" spans="2:5" ht="31.5" x14ac:dyDescent="0.25">
      <c r="B40" s="311" t="s">
        <v>1308</v>
      </c>
      <c r="C40" s="310" t="s">
        <v>1364</v>
      </c>
      <c r="D40" s="79"/>
    </row>
    <row r="41" spans="2:5" ht="31.5" x14ac:dyDescent="0.25">
      <c r="B41" s="310" t="s">
        <v>1309</v>
      </c>
      <c r="C41" s="310" t="s">
        <v>1285</v>
      </c>
      <c r="D41" s="79"/>
    </row>
    <row r="42" spans="2:5" ht="15.75" x14ac:dyDescent="0.25">
      <c r="B42" s="310" t="s">
        <v>1339</v>
      </c>
      <c r="C42" s="310" t="s">
        <v>1346</v>
      </c>
      <c r="D42" s="79"/>
    </row>
    <row r="43" spans="2:5" ht="49.5" customHeight="1" x14ac:dyDescent="0.25">
      <c r="B43" s="310" t="s">
        <v>1310</v>
      </c>
      <c r="C43" s="310" t="s">
        <v>1284</v>
      </c>
      <c r="D43" s="79"/>
    </row>
    <row r="44" spans="2:5" ht="21" customHeight="1" x14ac:dyDescent="0.25">
      <c r="B44" s="310" t="s">
        <v>1311</v>
      </c>
      <c r="C44" s="310" t="s">
        <v>1312</v>
      </c>
      <c r="D44" s="79"/>
    </row>
    <row r="45" spans="2:5" ht="31.5" x14ac:dyDescent="0.25">
      <c r="B45" s="311" t="s">
        <v>1340</v>
      </c>
      <c r="C45" s="311" t="s">
        <v>1365</v>
      </c>
      <c r="D45" s="79"/>
      <c r="E45" s="32"/>
    </row>
    <row r="46" spans="2:5" ht="15.75" x14ac:dyDescent="0.25">
      <c r="B46" s="391" t="s">
        <v>1026</v>
      </c>
      <c r="C46" s="392"/>
      <c r="D46" s="176"/>
    </row>
    <row r="47" spans="2:5" ht="15.75" x14ac:dyDescent="0.25">
      <c r="B47" s="311"/>
      <c r="C47" s="311" t="s">
        <v>1317</v>
      </c>
      <c r="D47" s="79"/>
    </row>
    <row r="48" spans="2:5" ht="15.75" x14ac:dyDescent="0.25">
      <c r="B48" s="391" t="s">
        <v>1027</v>
      </c>
      <c r="C48" s="392"/>
      <c r="D48" s="176"/>
    </row>
    <row r="49" spans="2:4" s="305" customFormat="1" ht="96.75" customHeight="1" x14ac:dyDescent="0.25">
      <c r="B49" s="310" t="s">
        <v>1341</v>
      </c>
      <c r="C49" s="310" t="s">
        <v>1318</v>
      </c>
      <c r="D49" s="304"/>
    </row>
    <row r="50" spans="2:4" ht="31.5" x14ac:dyDescent="0.25">
      <c r="B50" s="310" t="s">
        <v>1313</v>
      </c>
      <c r="C50" s="311" t="s">
        <v>1316</v>
      </c>
      <c r="D50" s="79"/>
    </row>
    <row r="51" spans="2:4" ht="57" customHeight="1" x14ac:dyDescent="0.25">
      <c r="B51" s="310" t="s">
        <v>1314</v>
      </c>
      <c r="C51" s="310" t="s">
        <v>1345</v>
      </c>
      <c r="D51" s="79"/>
    </row>
    <row r="52" spans="2:4" ht="31.5" x14ac:dyDescent="0.25">
      <c r="B52" s="311" t="s">
        <v>1315</v>
      </c>
      <c r="C52" s="310" t="s">
        <v>1319</v>
      </c>
      <c r="D52" s="79"/>
    </row>
    <row r="53" spans="2:4" ht="15.75" hidden="1" x14ac:dyDescent="0.25">
      <c r="B53" s="311" t="s">
        <v>1286</v>
      </c>
      <c r="C53" s="312"/>
      <c r="D53" s="79"/>
    </row>
    <row r="54" spans="2:4" ht="31.5" hidden="1" x14ac:dyDescent="0.25">
      <c r="B54" s="311" t="s">
        <v>1287</v>
      </c>
      <c r="C54" s="312"/>
      <c r="D54" s="79"/>
    </row>
    <row r="55" spans="2:4" ht="15.75" x14ac:dyDescent="0.25">
      <c r="B55" s="393" t="s">
        <v>1028</v>
      </c>
      <c r="C55" s="394"/>
      <c r="D55" s="173"/>
    </row>
    <row r="56" spans="2:4" ht="15.75" x14ac:dyDescent="0.25">
      <c r="B56" s="309"/>
      <c r="C56" s="309"/>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82" t="s">
        <v>860</v>
      </c>
    </row>
    <row r="2" spans="2:22" ht="15.75" x14ac:dyDescent="0.25">
      <c r="B2" s="6"/>
      <c r="C2" s="6"/>
      <c r="D2" s="6"/>
      <c r="E2" s="8"/>
      <c r="F2" s="8"/>
      <c r="G2" s="8"/>
      <c r="H2" s="8"/>
      <c r="I2" s="8"/>
      <c r="J2" s="8"/>
      <c r="L2" s="82" t="s">
        <v>1</v>
      </c>
    </row>
    <row r="3" spans="2:22" ht="15.75" x14ac:dyDescent="0.25">
      <c r="B3" s="6"/>
      <c r="C3" s="6"/>
      <c r="D3" s="6"/>
      <c r="E3" s="8"/>
      <c r="F3" s="8"/>
      <c r="G3" s="8"/>
      <c r="H3" s="8"/>
      <c r="I3" s="8"/>
      <c r="J3" s="8"/>
      <c r="L3" s="82" t="s">
        <v>1029</v>
      </c>
    </row>
    <row r="4" spans="2:22" ht="15.75" x14ac:dyDescent="0.25">
      <c r="B4" s="6"/>
      <c r="C4" s="6"/>
      <c r="D4" s="6"/>
      <c r="E4" s="8"/>
      <c r="F4" s="8"/>
      <c r="G4" s="8"/>
      <c r="H4" s="8"/>
      <c r="I4" s="8"/>
      <c r="J4" s="8"/>
      <c r="L4" s="82"/>
    </row>
    <row r="5" spans="2:22" ht="15.75" x14ac:dyDescent="0.25">
      <c r="B5" s="96" t="s">
        <v>1020</v>
      </c>
      <c r="C5" s="96"/>
      <c r="D5" s="6"/>
      <c r="E5" s="8"/>
      <c r="F5" s="8"/>
      <c r="G5" s="8"/>
      <c r="H5" s="8"/>
      <c r="I5" s="8"/>
      <c r="J5" s="8"/>
    </row>
    <row r="6" spans="2:22" ht="15.75" customHeight="1" x14ac:dyDescent="0.25">
      <c r="B6" s="9" t="s">
        <v>1030</v>
      </c>
      <c r="C6" s="9"/>
      <c r="D6" s="6"/>
      <c r="E6" s="6"/>
      <c r="F6" s="6"/>
      <c r="G6" s="6"/>
      <c r="H6" s="6"/>
      <c r="I6" s="6"/>
      <c r="J6" s="6"/>
    </row>
    <row r="7" spans="2:22" ht="25.5" customHeight="1" x14ac:dyDescent="0.25">
      <c r="B7" s="390" t="s">
        <v>1031</v>
      </c>
      <c r="C7" s="390" t="s">
        <v>1032</v>
      </c>
      <c r="D7" s="401" t="s">
        <v>1033</v>
      </c>
      <c r="E7" s="402"/>
      <c r="F7" s="402"/>
      <c r="G7" s="403"/>
      <c r="H7" s="401" t="s">
        <v>1034</v>
      </c>
      <c r="I7" s="402"/>
      <c r="J7" s="402"/>
      <c r="K7" s="401" t="s">
        <v>1035</v>
      </c>
      <c r="L7" s="402"/>
      <c r="M7" s="403"/>
      <c r="N7" s="363" t="s">
        <v>866</v>
      </c>
      <c r="O7" s="177"/>
      <c r="P7" s="177"/>
      <c r="Q7" s="177"/>
      <c r="R7" s="399"/>
      <c r="S7" s="399"/>
      <c r="T7" s="177"/>
      <c r="U7" s="177"/>
      <c r="V7" s="177"/>
    </row>
    <row r="8" spans="2:22" ht="111.75" customHeight="1" x14ac:dyDescent="0.25">
      <c r="B8" s="400"/>
      <c r="C8" s="400"/>
      <c r="D8" s="178" t="s">
        <v>1036</v>
      </c>
      <c r="E8" s="178" t="s">
        <v>1037</v>
      </c>
      <c r="F8" s="178" t="s">
        <v>1038</v>
      </c>
      <c r="G8" s="178" t="s">
        <v>1039</v>
      </c>
      <c r="H8" s="178" t="s">
        <v>42</v>
      </c>
      <c r="I8" s="178" t="s">
        <v>1040</v>
      </c>
      <c r="J8" s="178" t="s">
        <v>1041</v>
      </c>
      <c r="K8" s="178" t="s">
        <v>42</v>
      </c>
      <c r="L8" s="178" t="s">
        <v>1042</v>
      </c>
      <c r="M8" s="178" t="s">
        <v>871</v>
      </c>
      <c r="N8" s="379"/>
      <c r="O8" s="177"/>
      <c r="P8" s="177"/>
      <c r="Q8" s="297">
        <f>56/3*2</f>
        <v>37.333333333333336</v>
      </c>
      <c r="R8" s="177"/>
      <c r="S8" s="177"/>
      <c r="T8" s="177"/>
      <c r="U8" s="177"/>
      <c r="V8" s="177"/>
    </row>
    <row r="9" spans="2:22" ht="63.75" customHeight="1" x14ac:dyDescent="0.25">
      <c r="B9" s="179" t="s">
        <v>0</v>
      </c>
      <c r="C9" s="179" t="s">
        <v>1043</v>
      </c>
      <c r="D9" s="180"/>
      <c r="E9" s="180"/>
      <c r="F9" s="180"/>
      <c r="G9" s="180"/>
      <c r="H9" s="180"/>
      <c r="I9" s="180"/>
      <c r="J9" s="180"/>
      <c r="K9" s="180"/>
      <c r="L9" s="180"/>
      <c r="M9" s="180"/>
      <c r="N9" s="85"/>
      <c r="O9" s="79"/>
      <c r="P9" s="79"/>
      <c r="Q9" s="79"/>
      <c r="R9" s="79"/>
      <c r="S9" s="79"/>
      <c r="T9" s="79"/>
      <c r="U9" s="79"/>
      <c r="V9" s="79"/>
    </row>
    <row r="10" spans="2:22" ht="207.75" customHeight="1" x14ac:dyDescent="0.25">
      <c r="B10" s="181" t="s">
        <v>1044</v>
      </c>
      <c r="C10" s="181" t="s">
        <v>52</v>
      </c>
      <c r="D10" s="182"/>
      <c r="E10" s="182"/>
      <c r="F10" s="182"/>
      <c r="G10" s="182"/>
      <c r="H10" s="182"/>
      <c r="I10" s="182"/>
      <c r="J10" s="182"/>
      <c r="K10" s="182"/>
      <c r="L10" s="182"/>
      <c r="M10" s="182"/>
      <c r="N10" s="85"/>
      <c r="O10" s="79"/>
      <c r="P10" s="79"/>
      <c r="Q10" s="79"/>
      <c r="R10" s="79"/>
      <c r="S10" s="79"/>
      <c r="T10" s="79"/>
      <c r="U10" s="79"/>
      <c r="V10" s="79"/>
    </row>
    <row r="11" spans="2:22" ht="75.75" customHeight="1" x14ac:dyDescent="0.25">
      <c r="B11" s="182"/>
      <c r="C11" s="182"/>
      <c r="D11" s="183"/>
      <c r="E11" s="183" t="s">
        <v>1045</v>
      </c>
      <c r="F11" s="33">
        <v>76</v>
      </c>
      <c r="G11" s="200">
        <v>57.3</v>
      </c>
      <c r="H11" s="182"/>
      <c r="I11" s="182"/>
      <c r="J11" s="182"/>
      <c r="K11" s="182"/>
      <c r="L11" s="182"/>
      <c r="M11" s="182"/>
      <c r="N11" s="85"/>
      <c r="O11" s="79"/>
      <c r="P11" s="79"/>
      <c r="Q11" s="87" t="s">
        <v>1226</v>
      </c>
      <c r="R11" s="79"/>
      <c r="S11" s="79"/>
      <c r="T11" s="79"/>
      <c r="U11" s="79"/>
      <c r="V11" s="79"/>
    </row>
    <row r="12" spans="2:22" ht="120.75" customHeight="1" x14ac:dyDescent="0.25">
      <c r="B12" s="181" t="s">
        <v>1046</v>
      </c>
      <c r="C12" s="184" t="s">
        <v>1047</v>
      </c>
      <c r="D12" s="185"/>
      <c r="E12" s="185"/>
      <c r="F12" s="186"/>
      <c r="G12" s="186"/>
      <c r="H12" s="186"/>
      <c r="I12" s="187"/>
      <c r="J12" s="188"/>
      <c r="K12" s="188"/>
      <c r="L12" s="188"/>
      <c r="M12" s="188"/>
      <c r="N12" s="85"/>
      <c r="O12" s="79"/>
      <c r="P12" s="79"/>
      <c r="Q12" s="79"/>
      <c r="R12" s="79"/>
      <c r="S12" s="79"/>
      <c r="T12" s="79"/>
      <c r="U12" s="79"/>
      <c r="V12" s="79"/>
    </row>
    <row r="13" spans="2:22" ht="105" customHeight="1" x14ac:dyDescent="0.25">
      <c r="B13" s="182"/>
      <c r="C13" s="187"/>
      <c r="D13" s="189"/>
      <c r="E13" s="189" t="s">
        <v>1221</v>
      </c>
      <c r="F13" s="190">
        <v>105</v>
      </c>
      <c r="G13" s="191">
        <v>93.65</v>
      </c>
      <c r="H13" s="186"/>
      <c r="I13" s="187"/>
      <c r="J13" s="188"/>
      <c r="K13" s="188"/>
      <c r="L13" s="188"/>
      <c r="M13" s="188"/>
      <c r="N13" s="85"/>
      <c r="O13" s="79"/>
      <c r="P13" s="79"/>
      <c r="Q13" s="289" t="s">
        <v>1222</v>
      </c>
      <c r="R13" s="289" t="s">
        <v>1223</v>
      </c>
      <c r="S13" s="290">
        <f>54.6/58.3*100</f>
        <v>93.653516295025739</v>
      </c>
      <c r="T13" s="291"/>
      <c r="U13" s="79"/>
      <c r="V13" s="79"/>
    </row>
    <row r="14" spans="2:22" ht="58.5" customHeight="1" x14ac:dyDescent="0.25">
      <c r="B14" s="192" t="s">
        <v>55</v>
      </c>
      <c r="C14" s="192" t="s">
        <v>56</v>
      </c>
      <c r="D14" s="185"/>
      <c r="E14" s="185"/>
      <c r="F14" s="186"/>
      <c r="G14" s="186"/>
      <c r="H14" s="193">
        <f>'4_priedo_1'!H12</f>
        <v>16686091.370000001</v>
      </c>
      <c r="I14" s="194">
        <f>'4_priedo_1'!I12+'4_priedo_1'!J12</f>
        <v>12950005.630000003</v>
      </c>
      <c r="J14" s="195">
        <f>'4_priedo_1'!K12</f>
        <v>3736085.7399999993</v>
      </c>
      <c r="K14" s="195">
        <f>'4_priedo_1'!P12</f>
        <v>7070967.4999999991</v>
      </c>
      <c r="L14" s="195">
        <f>'4_priedo_1'!Q12+'4_priedo_1'!R12</f>
        <v>5865189.3799999999</v>
      </c>
      <c r="M14" s="195">
        <f>'4_priedo_1'!S12</f>
        <v>1205778.1199999999</v>
      </c>
      <c r="N14" s="85"/>
      <c r="O14" s="79"/>
      <c r="P14" s="79" t="s">
        <v>1048</v>
      </c>
      <c r="Q14" s="79"/>
      <c r="R14" s="79"/>
      <c r="S14" s="79"/>
      <c r="T14" s="79"/>
      <c r="U14" s="79"/>
      <c r="V14" s="79"/>
    </row>
    <row r="15" spans="2:22" ht="66" customHeight="1" x14ac:dyDescent="0.25">
      <c r="B15" s="10"/>
      <c r="C15" s="196"/>
      <c r="D15" s="26" t="s">
        <v>685</v>
      </c>
      <c r="E15" s="26" t="s">
        <v>686</v>
      </c>
      <c r="F15" s="193">
        <f>SUM('4_priedo_2'!I13:I26)</f>
        <v>717206.89999999991</v>
      </c>
      <c r="G15" s="193">
        <f>SUM('4_priedo_2'!K13:'4_priedo_2'!K26)</f>
        <v>290564.09999999998</v>
      </c>
      <c r="H15" s="186"/>
      <c r="I15" s="187"/>
      <c r="J15" s="188"/>
      <c r="K15" s="188"/>
      <c r="L15" s="188"/>
      <c r="M15" s="188"/>
      <c r="N15" s="85"/>
      <c r="O15" s="79"/>
      <c r="P15" s="79"/>
      <c r="Q15" s="79"/>
      <c r="R15" s="79"/>
      <c r="S15" s="79"/>
      <c r="T15" s="79"/>
      <c r="U15" s="79"/>
      <c r="V15" s="79"/>
    </row>
    <row r="16" spans="2:22" ht="77.25" customHeight="1" x14ac:dyDescent="0.25">
      <c r="B16" s="10"/>
      <c r="C16" s="196"/>
      <c r="D16" s="26" t="s">
        <v>687</v>
      </c>
      <c r="E16" s="26" t="s">
        <v>688</v>
      </c>
      <c r="F16" s="193">
        <f>'4_priedo_2'!N13+'4_priedo_2'!N19</f>
        <v>1169.6500000000001</v>
      </c>
      <c r="G16" s="193">
        <f>'4_priedo_2'!P13+'4_priedo_2'!P19</f>
        <v>0</v>
      </c>
      <c r="H16" s="186"/>
      <c r="I16" s="187"/>
      <c r="J16" s="188"/>
      <c r="K16" s="188"/>
      <c r="L16" s="188"/>
      <c r="M16" s="188"/>
      <c r="N16" s="85"/>
      <c r="O16" s="79"/>
      <c r="P16" s="79"/>
      <c r="Q16" s="79"/>
      <c r="R16" s="79"/>
      <c r="S16" s="79"/>
      <c r="T16" s="79"/>
      <c r="U16" s="79"/>
      <c r="V16" s="79"/>
    </row>
    <row r="17" spans="2:22" ht="89.25" customHeight="1" x14ac:dyDescent="0.25">
      <c r="B17" s="192" t="s">
        <v>133</v>
      </c>
      <c r="C17" s="192" t="s">
        <v>134</v>
      </c>
      <c r="D17" s="185"/>
      <c r="E17" s="185"/>
      <c r="F17" s="186"/>
      <c r="G17" s="186"/>
      <c r="H17" s="193">
        <f>'4_priedo_1'!H31</f>
        <v>4344260.07</v>
      </c>
      <c r="I17" s="194">
        <f>'4_priedo_1'!I31+'4_priedo_1'!J31</f>
        <v>3744904.4299999997</v>
      </c>
      <c r="J17" s="195">
        <f>'4_priedo_1'!K31</f>
        <v>599355.6399999999</v>
      </c>
      <c r="K17" s="195">
        <f>'4_priedo_1'!P31</f>
        <v>3878897.9699999997</v>
      </c>
      <c r="L17" s="195">
        <f>'4_priedo_1'!Q31+'4_priedo_1'!R31</f>
        <v>3403749.53</v>
      </c>
      <c r="M17" s="195">
        <f>'4_priedo_1'!S31</f>
        <v>475148.44000000006</v>
      </c>
      <c r="N17" s="85"/>
      <c r="O17" s="79"/>
      <c r="P17" s="79"/>
      <c r="Q17" s="79"/>
      <c r="R17" s="79"/>
      <c r="S17" s="79"/>
      <c r="T17" s="79"/>
      <c r="U17" s="79"/>
      <c r="V17" s="79"/>
    </row>
    <row r="18" spans="2:22" ht="74.25" customHeight="1" x14ac:dyDescent="0.25">
      <c r="B18" s="10"/>
      <c r="C18" s="196"/>
      <c r="D18" s="26" t="s">
        <v>685</v>
      </c>
      <c r="E18" s="26" t="s">
        <v>691</v>
      </c>
      <c r="F18" s="193">
        <f>'4_priedo_2'!I32+'4_priedo_2'!I33+'4_priedo_2'!I34</f>
        <v>152251.93</v>
      </c>
      <c r="G18" s="193">
        <f>'4_priedo_2'!K32+'4_priedo_2'!K33+'4_priedo_2'!K34</f>
        <v>63806.929999999993</v>
      </c>
      <c r="H18" s="186"/>
      <c r="I18" s="187"/>
      <c r="J18" s="188"/>
      <c r="K18" s="188"/>
      <c r="L18" s="188"/>
      <c r="M18" s="188"/>
      <c r="N18" s="85"/>
      <c r="O18" s="79"/>
      <c r="P18" s="79"/>
      <c r="Q18" s="79"/>
      <c r="R18" s="79"/>
      <c r="S18" s="79"/>
      <c r="T18" s="79"/>
      <c r="U18" s="79"/>
      <c r="V18" s="79"/>
    </row>
    <row r="19" spans="2:22" ht="105" customHeight="1" x14ac:dyDescent="0.25">
      <c r="B19" s="10"/>
      <c r="C19" s="196"/>
      <c r="D19" s="26" t="s">
        <v>687</v>
      </c>
      <c r="E19" s="26" t="s">
        <v>700</v>
      </c>
      <c r="F19" s="193">
        <f>'4_priedo_2'!N33</f>
        <v>800</v>
      </c>
      <c r="G19" s="193">
        <f>'4_priedo_2'!P33</f>
        <v>0</v>
      </c>
      <c r="H19" s="186"/>
      <c r="I19" s="187"/>
      <c r="J19" s="188"/>
      <c r="K19" s="188"/>
      <c r="L19" s="188"/>
      <c r="M19" s="188"/>
      <c r="N19" s="85"/>
      <c r="O19" s="79"/>
      <c r="P19" s="79"/>
      <c r="Q19" s="79"/>
      <c r="R19" s="79"/>
      <c r="S19" s="79"/>
      <c r="T19" s="79"/>
      <c r="U19" s="79"/>
      <c r="V19" s="79"/>
    </row>
    <row r="20" spans="2:22" ht="189.75" customHeight="1" x14ac:dyDescent="0.25">
      <c r="B20" s="181" t="s">
        <v>155</v>
      </c>
      <c r="C20" s="181" t="s">
        <v>156</v>
      </c>
      <c r="D20" s="185"/>
      <c r="E20" s="185"/>
      <c r="F20" s="186"/>
      <c r="G20" s="186"/>
      <c r="H20" s="186"/>
      <c r="I20" s="187"/>
      <c r="J20" s="188"/>
      <c r="K20" s="188"/>
      <c r="L20" s="188"/>
      <c r="M20" s="188"/>
      <c r="N20" s="85"/>
      <c r="O20" s="79"/>
      <c r="P20" s="79"/>
      <c r="Q20" s="79"/>
      <c r="R20" s="79"/>
      <c r="S20" s="79"/>
      <c r="T20" s="79"/>
      <c r="U20" s="79"/>
      <c r="V20" s="79"/>
    </row>
    <row r="21" spans="2:22" ht="92.25" customHeight="1" x14ac:dyDescent="0.25">
      <c r="B21" s="182"/>
      <c r="C21" s="187"/>
      <c r="D21" s="189"/>
      <c r="E21" s="189" t="s">
        <v>1224</v>
      </c>
      <c r="F21" s="190">
        <v>101</v>
      </c>
      <c r="G21" s="191" t="s">
        <v>1065</v>
      </c>
      <c r="H21" s="186"/>
      <c r="I21" s="187"/>
      <c r="J21" s="188"/>
      <c r="K21" s="188"/>
      <c r="L21" s="188"/>
      <c r="M21" s="188"/>
      <c r="N21" s="85"/>
      <c r="O21" s="79"/>
      <c r="P21" s="79"/>
      <c r="Q21" s="79"/>
      <c r="R21" s="79"/>
      <c r="S21" s="79"/>
      <c r="T21" s="79"/>
      <c r="U21" s="79"/>
      <c r="V21" s="79"/>
    </row>
    <row r="22" spans="2:22" ht="76.5" customHeight="1" x14ac:dyDescent="0.25">
      <c r="B22" s="29" t="s">
        <v>157</v>
      </c>
      <c r="C22" s="29" t="s">
        <v>158</v>
      </c>
      <c r="D22" s="185"/>
      <c r="E22" s="185"/>
      <c r="F22" s="186"/>
      <c r="G22" s="186"/>
      <c r="H22" s="193">
        <f>'4_priedo_1'!H36</f>
        <v>895999.62</v>
      </c>
      <c r="I22" s="197">
        <f>'4_priedo_1'!I36+'4_priedo_1'!J36</f>
        <v>851199.64</v>
      </c>
      <c r="J22" s="195">
        <f>'4_priedo_1'!K36</f>
        <v>44799.979999999938</v>
      </c>
      <c r="K22" s="195">
        <f>'4_priedo_1'!P36</f>
        <v>895999.62</v>
      </c>
      <c r="L22" s="195">
        <f>'4_priedo_1'!Q36+'4_priedo_1'!R36</f>
        <v>851199.64</v>
      </c>
      <c r="M22" s="195">
        <f>'4_priedo_1'!S36</f>
        <v>44799.98</v>
      </c>
      <c r="N22" s="48"/>
      <c r="O22" s="79"/>
      <c r="P22" s="79"/>
      <c r="Q22" s="79"/>
      <c r="R22" s="79"/>
      <c r="S22" s="79"/>
      <c r="T22" s="79"/>
      <c r="U22" s="79"/>
      <c r="V22" s="79"/>
    </row>
    <row r="23" spans="2:22" ht="117.75" customHeight="1" x14ac:dyDescent="0.25">
      <c r="B23" s="10"/>
      <c r="C23" s="196"/>
      <c r="D23" s="26" t="s">
        <v>702</v>
      </c>
      <c r="E23" s="26" t="s">
        <v>703</v>
      </c>
      <c r="F23" s="26">
        <f>'4_priedo_2'!I37</f>
        <v>43328.23</v>
      </c>
      <c r="G23" s="26">
        <f>'4_priedo_2'!K37</f>
        <v>43328.23</v>
      </c>
      <c r="H23" s="186"/>
      <c r="I23" s="198"/>
      <c r="J23" s="188"/>
      <c r="K23" s="188"/>
      <c r="L23" s="188"/>
      <c r="M23" s="188"/>
      <c r="N23" s="48"/>
      <c r="O23" s="79"/>
      <c r="P23" s="79"/>
      <c r="Q23" s="79"/>
      <c r="R23" s="79"/>
      <c r="S23" s="79"/>
      <c r="T23" s="79"/>
      <c r="U23" s="79"/>
      <c r="V23" s="79"/>
    </row>
    <row r="24" spans="2:22" ht="115.5" customHeight="1" x14ac:dyDescent="0.25">
      <c r="B24" s="10"/>
      <c r="C24" s="196"/>
      <c r="D24" s="26" t="s">
        <v>704</v>
      </c>
      <c r="E24" s="26" t="s">
        <v>705</v>
      </c>
      <c r="F24" s="26">
        <f>'4_priedo_2'!N37</f>
        <v>84.82</v>
      </c>
      <c r="G24" s="26">
        <f>'4_priedo_2'!P37</f>
        <v>84.82</v>
      </c>
      <c r="H24" s="186"/>
      <c r="I24" s="198"/>
      <c r="J24" s="188"/>
      <c r="K24" s="188"/>
      <c r="L24" s="188"/>
      <c r="M24" s="188"/>
      <c r="N24" s="48"/>
      <c r="O24" s="79"/>
      <c r="P24" s="79"/>
      <c r="Q24" s="79"/>
      <c r="R24" s="79"/>
      <c r="S24" s="79"/>
      <c r="T24" s="79"/>
      <c r="U24" s="79"/>
      <c r="V24" s="79"/>
    </row>
    <row r="25" spans="2:22" ht="13.5" hidden="1" customHeight="1" x14ac:dyDescent="0.25">
      <c r="B25" s="10"/>
      <c r="C25" s="196"/>
      <c r="D25" s="199"/>
      <c r="E25" s="199"/>
      <c r="F25" s="193"/>
      <c r="G25" s="193"/>
      <c r="H25" s="186"/>
      <c r="I25" s="187"/>
      <c r="J25" s="188"/>
      <c r="K25" s="188"/>
      <c r="L25" s="188"/>
      <c r="M25" s="188"/>
      <c r="N25" s="85"/>
      <c r="O25" s="79"/>
      <c r="P25" s="79"/>
      <c r="Q25" s="79"/>
      <c r="R25" s="79"/>
      <c r="S25" s="79"/>
      <c r="T25" s="79"/>
      <c r="U25" s="79"/>
      <c r="V25" s="79"/>
    </row>
    <row r="26" spans="2:22" ht="199.5" customHeight="1" x14ac:dyDescent="0.25">
      <c r="B26" s="181" t="s">
        <v>165</v>
      </c>
      <c r="C26" s="181" t="s">
        <v>166</v>
      </c>
      <c r="D26" s="185"/>
      <c r="E26" s="185"/>
      <c r="F26" s="186"/>
      <c r="G26" s="186"/>
      <c r="H26" s="186"/>
      <c r="I26" s="187"/>
      <c r="J26" s="188"/>
      <c r="K26" s="188"/>
      <c r="L26" s="188"/>
      <c r="M26" s="188"/>
      <c r="N26" s="85"/>
      <c r="O26" s="79"/>
      <c r="P26" s="79"/>
      <c r="Q26" s="79"/>
      <c r="R26" s="79"/>
      <c r="S26" s="79"/>
      <c r="T26" s="79"/>
      <c r="U26" s="79"/>
      <c r="V26" s="79"/>
    </row>
    <row r="27" spans="2:22" ht="97.5" customHeight="1" x14ac:dyDescent="0.25">
      <c r="B27" s="182"/>
      <c r="C27" s="187"/>
      <c r="D27" s="189"/>
      <c r="E27" s="189" t="s">
        <v>1224</v>
      </c>
      <c r="F27" s="190">
        <v>103</v>
      </c>
      <c r="G27" s="191" t="s">
        <v>1065</v>
      </c>
      <c r="H27" s="186"/>
      <c r="I27" s="187"/>
      <c r="J27" s="188"/>
      <c r="K27" s="188"/>
      <c r="L27" s="188"/>
      <c r="M27" s="188"/>
      <c r="N27" s="85"/>
      <c r="O27" s="79"/>
      <c r="P27" s="79"/>
      <c r="Q27" s="79"/>
      <c r="R27" s="79"/>
      <c r="S27" s="79"/>
      <c r="T27" s="79"/>
      <c r="U27" s="79"/>
      <c r="V27" s="79"/>
    </row>
    <row r="28" spans="2:22" ht="76.5" customHeight="1" x14ac:dyDescent="0.25">
      <c r="B28" s="26" t="s">
        <v>167</v>
      </c>
      <c r="C28" s="26" t="s">
        <v>168</v>
      </c>
      <c r="D28" s="185"/>
      <c r="E28" s="185"/>
      <c r="F28" s="186"/>
      <c r="G28" s="186"/>
      <c r="H28" s="193"/>
      <c r="I28" s="197"/>
      <c r="J28" s="195"/>
      <c r="K28" s="195"/>
      <c r="L28" s="195"/>
      <c r="M28" s="195"/>
      <c r="N28" s="48"/>
      <c r="O28" s="79"/>
      <c r="P28" s="79"/>
      <c r="Q28" s="79"/>
      <c r="R28" s="79"/>
      <c r="S28" s="79"/>
      <c r="T28" s="79"/>
      <c r="U28" s="79"/>
      <c r="V28" s="79"/>
    </row>
    <row r="29" spans="2:22" ht="27" customHeight="1" x14ac:dyDescent="0.25">
      <c r="B29" s="182"/>
      <c r="C29" s="187"/>
      <c r="D29" s="199"/>
      <c r="E29" s="199"/>
      <c r="F29" s="193"/>
      <c r="G29" s="193"/>
      <c r="H29" s="186"/>
      <c r="I29" s="187"/>
      <c r="J29" s="188"/>
      <c r="K29" s="188"/>
      <c r="L29" s="188"/>
      <c r="M29" s="188"/>
      <c r="N29" s="85"/>
      <c r="O29" s="79"/>
      <c r="P29" s="79"/>
      <c r="Q29" s="79"/>
      <c r="R29" s="79"/>
      <c r="S29" s="79"/>
      <c r="T29" s="79"/>
      <c r="U29" s="79"/>
      <c r="V29" s="79"/>
    </row>
    <row r="30" spans="2:22" ht="89.25" customHeight="1" x14ac:dyDescent="0.25">
      <c r="B30" s="26" t="s">
        <v>169</v>
      </c>
      <c r="C30" s="26" t="s">
        <v>170</v>
      </c>
      <c r="D30" s="185"/>
      <c r="E30" s="185"/>
      <c r="F30" s="186"/>
      <c r="G30" s="186"/>
      <c r="H30" s="193"/>
      <c r="I30" s="197"/>
      <c r="J30" s="195"/>
      <c r="K30" s="195"/>
      <c r="L30" s="195"/>
      <c r="M30" s="195"/>
      <c r="N30" s="48"/>
      <c r="O30" s="79"/>
      <c r="P30" s="79"/>
      <c r="Q30" s="79"/>
      <c r="R30" s="79"/>
      <c r="S30" s="79"/>
      <c r="T30" s="79"/>
      <c r="U30" s="79"/>
      <c r="V30" s="79"/>
    </row>
    <row r="31" spans="2:22" ht="27" customHeight="1" x14ac:dyDescent="0.25">
      <c r="B31" s="182"/>
      <c r="C31" s="187"/>
      <c r="D31" s="199"/>
      <c r="E31" s="199"/>
      <c r="F31" s="193"/>
      <c r="G31" s="193"/>
      <c r="H31" s="186"/>
      <c r="I31" s="187"/>
      <c r="J31" s="188"/>
      <c r="K31" s="188"/>
      <c r="L31" s="188"/>
      <c r="M31" s="188"/>
      <c r="N31" s="85"/>
      <c r="O31" s="79"/>
      <c r="P31" s="79"/>
      <c r="Q31" s="79"/>
      <c r="R31" s="79"/>
      <c r="S31" s="79"/>
      <c r="T31" s="79"/>
      <c r="U31" s="79"/>
      <c r="V31" s="79"/>
    </row>
    <row r="32" spans="2:22" ht="105.75" customHeight="1" x14ac:dyDescent="0.25">
      <c r="B32" s="183" t="s">
        <v>171</v>
      </c>
      <c r="C32" s="183" t="s">
        <v>172</v>
      </c>
      <c r="D32" s="182"/>
      <c r="E32" s="182"/>
      <c r="F32" s="182"/>
      <c r="G32" s="182"/>
      <c r="H32" s="182"/>
      <c r="I32" s="182"/>
      <c r="J32" s="182"/>
      <c r="K32" s="182"/>
      <c r="L32" s="182"/>
      <c r="M32" s="182"/>
      <c r="N32" s="85"/>
      <c r="O32" s="79"/>
      <c r="P32" s="79"/>
      <c r="Q32" s="79"/>
      <c r="R32" s="79"/>
      <c r="S32" s="79"/>
      <c r="T32" s="79"/>
      <c r="U32" s="79"/>
      <c r="V32" s="79"/>
    </row>
    <row r="33" spans="2:22" ht="150.75" customHeight="1" x14ac:dyDescent="0.25">
      <c r="B33" s="182"/>
      <c r="C33" s="182"/>
      <c r="D33" s="183"/>
      <c r="E33" s="183" t="s">
        <v>1225</v>
      </c>
      <c r="F33" s="200">
        <v>90</v>
      </c>
      <c r="G33" s="200" t="s">
        <v>1065</v>
      </c>
      <c r="H33" s="182"/>
      <c r="I33" s="182"/>
      <c r="J33" s="182"/>
      <c r="K33" s="182"/>
      <c r="L33" s="182"/>
      <c r="M33" s="182"/>
      <c r="N33" s="85"/>
      <c r="O33" s="79"/>
      <c r="P33" s="79"/>
      <c r="Q33" s="79"/>
      <c r="R33" s="79"/>
      <c r="S33" s="79"/>
      <c r="T33" s="79"/>
      <c r="U33" s="79"/>
      <c r="V33" s="79"/>
    </row>
    <row r="34" spans="2:22" ht="90" customHeight="1" x14ac:dyDescent="0.25">
      <c r="B34" s="181" t="s">
        <v>1049</v>
      </c>
      <c r="C34" s="181" t="s">
        <v>1050</v>
      </c>
      <c r="D34" s="185"/>
      <c r="E34" s="185"/>
      <c r="F34" s="186"/>
      <c r="G34" s="186"/>
      <c r="H34" s="186"/>
      <c r="I34" s="198"/>
      <c r="J34" s="188"/>
      <c r="K34" s="188"/>
      <c r="L34" s="188"/>
      <c r="M34" s="188"/>
      <c r="N34" s="48"/>
      <c r="O34" s="79"/>
      <c r="P34" s="79"/>
      <c r="Q34" s="79"/>
      <c r="R34" s="79"/>
      <c r="S34" s="79"/>
      <c r="T34" s="79"/>
      <c r="U34" s="79"/>
      <c r="V34" s="79"/>
    </row>
    <row r="35" spans="2:22" ht="119.25" customHeight="1" x14ac:dyDescent="0.25">
      <c r="B35" s="10"/>
      <c r="C35" s="196"/>
      <c r="D35" s="200"/>
      <c r="E35" s="200" t="s">
        <v>1051</v>
      </c>
      <c r="F35" s="191">
        <v>102</v>
      </c>
      <c r="G35" s="191">
        <v>63.08</v>
      </c>
      <c r="H35" s="186"/>
      <c r="I35" s="198"/>
      <c r="J35" s="188"/>
      <c r="K35" s="188"/>
      <c r="L35" s="188"/>
      <c r="M35" s="188"/>
      <c r="N35" s="48"/>
      <c r="O35" s="79"/>
      <c r="P35" s="79"/>
      <c r="Q35" s="87">
        <f>56573.7/89688.1*100</f>
        <v>63.078267908451615</v>
      </c>
      <c r="R35" s="79"/>
      <c r="S35" s="79"/>
      <c r="T35" s="79"/>
      <c r="U35" s="79"/>
      <c r="V35" s="79"/>
    </row>
    <row r="36" spans="2:22" ht="44.25" customHeight="1" x14ac:dyDescent="0.25">
      <c r="B36" s="201" t="s">
        <v>175</v>
      </c>
      <c r="C36" s="201" t="s">
        <v>176</v>
      </c>
      <c r="D36" s="185"/>
      <c r="E36" s="185"/>
      <c r="F36" s="186"/>
      <c r="G36" s="186"/>
      <c r="H36" s="193">
        <f>'4_priedo_1'!H44</f>
        <v>5422592.1699999999</v>
      </c>
      <c r="I36" s="209">
        <f>'4_priedo_1'!I44</f>
        <v>3989669.44</v>
      </c>
      <c r="J36" s="210">
        <f>'4_priedo_1'!K44</f>
        <v>1432922.7299999997</v>
      </c>
      <c r="K36" s="195">
        <f>'4_priedo_1'!P44</f>
        <v>3759659.7199999997</v>
      </c>
      <c r="L36" s="195">
        <f>'4_priedo_1'!Q44</f>
        <v>2702228.03</v>
      </c>
      <c r="M36" s="195">
        <f>'4_priedo_1'!S44</f>
        <v>1057431.69</v>
      </c>
      <c r="N36" s="48"/>
      <c r="O36" s="79"/>
      <c r="P36" s="79"/>
      <c r="Q36" s="79"/>
      <c r="R36" s="79"/>
      <c r="S36" s="79"/>
      <c r="T36" s="79"/>
      <c r="U36" s="79"/>
      <c r="V36" s="79"/>
    </row>
    <row r="37" spans="2:22" ht="57.75" customHeight="1" x14ac:dyDescent="0.25">
      <c r="B37" s="182"/>
      <c r="C37" s="187"/>
      <c r="D37" s="26" t="s">
        <v>701</v>
      </c>
      <c r="E37" s="26" t="s">
        <v>710</v>
      </c>
      <c r="F37" s="193">
        <f>'4_priedo_2'!I45+'4_priedo_2'!S47</f>
        <v>0.58299999999999996</v>
      </c>
      <c r="G37" s="193">
        <f>'4_priedo_2'!K45+'4_priedo_2'!U47</f>
        <v>0.23599999999999999</v>
      </c>
      <c r="H37" s="186"/>
      <c r="I37" s="187"/>
      <c r="J37" s="188"/>
      <c r="K37" s="188"/>
      <c r="L37" s="188"/>
      <c r="M37" s="188"/>
      <c r="N37" s="85"/>
      <c r="O37" s="79"/>
      <c r="P37" s="79"/>
      <c r="Q37" s="79"/>
      <c r="R37" s="79"/>
      <c r="S37" s="79"/>
      <c r="T37" s="79"/>
      <c r="U37" s="79"/>
      <c r="V37" s="79"/>
    </row>
    <row r="38" spans="2:22" ht="69.75" customHeight="1" x14ac:dyDescent="0.25">
      <c r="B38" s="182"/>
      <c r="C38" s="187"/>
      <c r="D38" s="26" t="s">
        <v>690</v>
      </c>
      <c r="E38" s="26" t="s">
        <v>712</v>
      </c>
      <c r="F38" s="193">
        <f>SUM('4_priedo_2'!I46:'4_priedo_2'!I54)</f>
        <v>5.5389999999999997</v>
      </c>
      <c r="G38" s="193">
        <f>SUM('4_priedo_2'!K46:'4_priedo_2'!K54)</f>
        <v>2.9489999999999998</v>
      </c>
      <c r="H38" s="186"/>
      <c r="I38" s="187"/>
      <c r="J38" s="188"/>
      <c r="K38" s="188"/>
      <c r="L38" s="188"/>
      <c r="M38" s="188"/>
      <c r="N38" s="85"/>
      <c r="O38" s="79"/>
      <c r="P38" s="79"/>
      <c r="Q38" s="79"/>
      <c r="R38" s="79"/>
      <c r="S38" s="79"/>
      <c r="T38" s="79"/>
      <c r="U38" s="79"/>
      <c r="V38" s="79"/>
    </row>
    <row r="39" spans="2:22" ht="77.25" customHeight="1" x14ac:dyDescent="0.25">
      <c r="B39" s="182"/>
      <c r="C39" s="187"/>
      <c r="D39" s="26" t="s">
        <v>713</v>
      </c>
      <c r="E39" s="26" t="s">
        <v>714</v>
      </c>
      <c r="F39" s="193">
        <f>SUM('4_priedo_2'!I55:'4_priedo_2'!I57)+SUM('4_priedo_2'!N46:'4_priedo_2'!N53)</f>
        <v>12</v>
      </c>
      <c r="G39" s="193">
        <f>SUM('4_priedo_2'!K55:'4_priedo_2'!K57)+SUM('4_priedo_2'!P46:'4_priedo_2'!P53)</f>
        <v>6</v>
      </c>
      <c r="H39" s="186"/>
      <c r="I39" s="187"/>
      <c r="J39" s="188"/>
      <c r="K39" s="188"/>
      <c r="L39" s="188"/>
      <c r="M39" s="188"/>
      <c r="N39" s="85"/>
      <c r="O39" s="79"/>
      <c r="P39" s="79"/>
      <c r="Q39" s="79"/>
      <c r="R39" s="79"/>
      <c r="S39" s="79"/>
      <c r="T39" s="79"/>
      <c r="U39" s="79"/>
      <c r="V39" s="79"/>
    </row>
    <row r="40" spans="2:22" ht="120" customHeight="1" x14ac:dyDescent="0.25">
      <c r="B40" s="26" t="s">
        <v>226</v>
      </c>
      <c r="C40" s="26" t="s">
        <v>227</v>
      </c>
      <c r="D40" s="185"/>
      <c r="E40" s="185"/>
      <c r="F40" s="186"/>
      <c r="G40" s="186"/>
      <c r="H40" s="186"/>
      <c r="I40" s="198"/>
      <c r="J40" s="188"/>
      <c r="K40" s="188"/>
      <c r="L40" s="188"/>
      <c r="M40" s="188"/>
      <c r="N40" s="48"/>
      <c r="O40" s="79"/>
      <c r="P40" s="79"/>
      <c r="Q40" s="79"/>
      <c r="R40" s="79"/>
      <c r="S40" s="79"/>
      <c r="T40" s="79"/>
      <c r="U40" s="79"/>
      <c r="V40" s="79"/>
    </row>
    <row r="41" spans="2:22" ht="58.5" customHeight="1" x14ac:dyDescent="0.25">
      <c r="B41" s="182"/>
      <c r="C41" s="187"/>
      <c r="D41" s="199"/>
      <c r="E41" s="199" t="s">
        <v>1052</v>
      </c>
      <c r="F41" s="193">
        <v>9</v>
      </c>
      <c r="G41" s="193">
        <v>8</v>
      </c>
      <c r="H41" s="186"/>
      <c r="I41" s="187"/>
      <c r="J41" s="188"/>
      <c r="K41" s="188"/>
      <c r="L41" s="188"/>
      <c r="M41" s="188"/>
      <c r="N41" s="85"/>
      <c r="O41" s="79"/>
      <c r="P41" s="79"/>
      <c r="Q41" s="79"/>
      <c r="R41" s="79"/>
      <c r="S41" s="79"/>
      <c r="T41" s="79"/>
      <c r="U41" s="79"/>
      <c r="V41" s="79"/>
    </row>
    <row r="42" spans="2:22" ht="66.75" customHeight="1" x14ac:dyDescent="0.25">
      <c r="B42" s="192" t="s">
        <v>228</v>
      </c>
      <c r="C42" s="192" t="s">
        <v>229</v>
      </c>
      <c r="D42" s="185"/>
      <c r="E42" s="185"/>
      <c r="F42" s="186"/>
      <c r="G42" s="186"/>
      <c r="H42" s="193">
        <f>'4_priedo_1'!H59</f>
        <v>729764.49</v>
      </c>
      <c r="I42" s="193">
        <f>'4_priedo_1'!I59</f>
        <v>407259</v>
      </c>
      <c r="J42" s="195">
        <f>'4_priedo_1'!K59</f>
        <v>322505.49</v>
      </c>
      <c r="K42" s="195">
        <f>'4_priedo_1'!P59</f>
        <v>460666.58999999997</v>
      </c>
      <c r="L42" s="195">
        <f>'4_priedo_1'!Q59</f>
        <v>293097.77</v>
      </c>
      <c r="M42" s="195">
        <f>'4_priedo_1'!S59</f>
        <v>167568.81999999995</v>
      </c>
      <c r="N42" s="48"/>
      <c r="O42" s="79"/>
      <c r="P42" s="79"/>
      <c r="Q42" s="79"/>
      <c r="R42" s="79"/>
      <c r="S42" s="79"/>
      <c r="T42" s="79"/>
      <c r="U42" s="79"/>
      <c r="V42" s="79"/>
    </row>
    <row r="43" spans="2:22" ht="70.5" customHeight="1" x14ac:dyDescent="0.25">
      <c r="B43" s="182"/>
      <c r="C43" s="187"/>
      <c r="D43" s="23" t="s">
        <v>707</v>
      </c>
      <c r="E43" s="23" t="s">
        <v>720</v>
      </c>
      <c r="F43" s="193">
        <f>'4_priedo_2'!I60+'4_priedo_2'!I61+'4_priedo_2'!I63+'4_priedo_2'!I65</f>
        <v>1.27</v>
      </c>
      <c r="G43" s="193">
        <f>'4_priedo_2'!K60+'4_priedo_2'!K61+'4_priedo_2'!K63+'4_priedo_2'!K65</f>
        <v>0</v>
      </c>
      <c r="H43" s="186"/>
      <c r="I43" s="187"/>
      <c r="J43" s="188"/>
      <c r="K43" s="188"/>
      <c r="L43" s="188"/>
      <c r="M43" s="188"/>
      <c r="N43" s="85"/>
      <c r="O43" s="79"/>
      <c r="P43" s="79"/>
      <c r="Q43" s="79"/>
      <c r="R43" s="79"/>
      <c r="S43" s="79"/>
      <c r="T43" s="79"/>
      <c r="U43" s="79"/>
      <c r="V43" s="79"/>
    </row>
    <row r="44" spans="2:22" ht="70.5" customHeight="1" x14ac:dyDescent="0.25">
      <c r="B44" s="182"/>
      <c r="C44" s="187"/>
      <c r="D44" s="23" t="s">
        <v>708</v>
      </c>
      <c r="E44" s="23" t="s">
        <v>721</v>
      </c>
      <c r="F44" s="193">
        <f>'4_priedo_2'!I62+'4_priedo_2'!I64+'4_priedo_2'!N61</f>
        <v>1.86</v>
      </c>
      <c r="G44" s="193">
        <f>'4_priedo_2'!K62+'4_priedo_2'!K64+'4_priedo_2'!P61</f>
        <v>0.85</v>
      </c>
      <c r="H44" s="186"/>
      <c r="I44" s="187"/>
      <c r="J44" s="188"/>
      <c r="K44" s="188"/>
      <c r="L44" s="188"/>
      <c r="M44" s="188"/>
      <c r="N44" s="85"/>
      <c r="O44" s="79"/>
      <c r="P44" s="79"/>
      <c r="Q44" s="79"/>
      <c r="R44" s="79"/>
      <c r="S44" s="79"/>
      <c r="T44" s="79"/>
      <c r="U44" s="79"/>
      <c r="V44" s="79"/>
    </row>
    <row r="45" spans="2:22" ht="66.75" customHeight="1" x14ac:dyDescent="0.25">
      <c r="B45" s="192" t="s">
        <v>243</v>
      </c>
      <c r="C45" s="192" t="s">
        <v>244</v>
      </c>
      <c r="D45" s="185"/>
      <c r="E45" s="185"/>
      <c r="F45" s="186"/>
      <c r="G45" s="186"/>
      <c r="H45" s="193">
        <f>'4_priedo_1'!H67</f>
        <v>1569563.06</v>
      </c>
      <c r="I45" s="193">
        <f>'4_priedo_1'!I67</f>
        <v>1333052</v>
      </c>
      <c r="J45" s="195">
        <f>'4_priedo_1'!K67</f>
        <v>236511.06</v>
      </c>
      <c r="K45" s="195">
        <f>'4_priedo_1'!P67</f>
        <v>96100</v>
      </c>
      <c r="L45" s="195">
        <f>'4_priedo_1'!Q67</f>
        <v>90745</v>
      </c>
      <c r="M45" s="195">
        <f>'4_priedo_1'!S67</f>
        <v>5355</v>
      </c>
      <c r="N45" s="48"/>
      <c r="O45" s="79"/>
      <c r="P45" s="79"/>
      <c r="Q45" s="79"/>
      <c r="R45" s="79"/>
      <c r="S45" s="79"/>
      <c r="T45" s="79"/>
      <c r="U45" s="79"/>
      <c r="V45" s="79"/>
    </row>
    <row r="46" spans="2:22" ht="57.75" customHeight="1" x14ac:dyDescent="0.25">
      <c r="B46" s="182"/>
      <c r="C46" s="187"/>
      <c r="D46" s="51" t="s">
        <v>699</v>
      </c>
      <c r="E46" s="51" t="s">
        <v>723</v>
      </c>
      <c r="F46" s="193">
        <f>'4_priedo_2'!I69+'4_priedo_2'!I71</f>
        <v>2</v>
      </c>
      <c r="G46" s="193">
        <f>'4_priedo_2'!K69+'4_priedo_2'!K71</f>
        <v>2</v>
      </c>
      <c r="H46" s="186"/>
      <c r="I46" s="187"/>
      <c r="J46" s="188"/>
      <c r="K46" s="188"/>
      <c r="L46" s="188"/>
      <c r="M46" s="188"/>
      <c r="N46" s="85"/>
      <c r="O46" s="79"/>
      <c r="P46" s="79"/>
      <c r="Q46" s="79"/>
      <c r="R46" s="79"/>
      <c r="S46" s="79"/>
      <c r="T46" s="79"/>
      <c r="U46" s="79"/>
      <c r="V46" s="79"/>
    </row>
    <row r="47" spans="2:22" ht="66.75" customHeight="1" x14ac:dyDescent="0.25">
      <c r="B47" s="182"/>
      <c r="C47" s="187"/>
      <c r="D47" s="26" t="s">
        <v>709</v>
      </c>
      <c r="E47" s="26" t="s">
        <v>724</v>
      </c>
      <c r="F47" s="193">
        <f>'4_priedo_2'!I70+'4_priedo_2'!I72</f>
        <v>10</v>
      </c>
      <c r="G47" s="193">
        <f>'4_priedo_2'!K70+'4_priedo_2'!K72</f>
        <v>0</v>
      </c>
      <c r="H47" s="186"/>
      <c r="I47" s="187"/>
      <c r="J47" s="188"/>
      <c r="K47" s="188"/>
      <c r="L47" s="188"/>
      <c r="M47" s="188"/>
      <c r="N47" s="85"/>
      <c r="O47" s="79"/>
      <c r="P47" s="79"/>
      <c r="Q47" s="79"/>
      <c r="R47" s="79"/>
      <c r="S47" s="79"/>
      <c r="T47" s="79"/>
      <c r="U47" s="79"/>
      <c r="V47" s="79"/>
    </row>
    <row r="48" spans="2:22" ht="108.75" customHeight="1" x14ac:dyDescent="0.25">
      <c r="B48" s="202" t="s">
        <v>258</v>
      </c>
      <c r="C48" s="202" t="s">
        <v>259</v>
      </c>
      <c r="D48" s="185"/>
      <c r="E48" s="185"/>
      <c r="F48" s="186"/>
      <c r="G48" s="186"/>
      <c r="H48" s="193">
        <f>'4_priedo_1'!H73</f>
        <v>1191647</v>
      </c>
      <c r="I48" s="193">
        <f>'4_priedo_1'!I73</f>
        <v>1012900</v>
      </c>
      <c r="J48" s="195">
        <f>'4_priedo_1'!K73</f>
        <v>178747</v>
      </c>
      <c r="K48" s="195">
        <f>'4_priedo_1'!P73</f>
        <v>0</v>
      </c>
      <c r="L48" s="195">
        <f>'4_priedo_1'!Q73</f>
        <v>0</v>
      </c>
      <c r="M48" s="195">
        <f>'4_priedo_1'!S73</f>
        <v>0</v>
      </c>
      <c r="N48" s="48"/>
      <c r="O48" s="79"/>
      <c r="P48" s="79"/>
      <c r="Q48" s="79"/>
      <c r="R48" s="79"/>
      <c r="S48" s="79"/>
      <c r="T48" s="79"/>
      <c r="U48" s="79"/>
      <c r="V48" s="79"/>
    </row>
    <row r="49" spans="2:22" ht="77.25" customHeight="1" x14ac:dyDescent="0.25">
      <c r="B49" s="182"/>
      <c r="C49" s="187"/>
      <c r="D49" s="52" t="s">
        <v>711</v>
      </c>
      <c r="E49" s="52" t="s">
        <v>727</v>
      </c>
      <c r="F49" s="193">
        <f>'4_priedo_2'!I75</f>
        <v>4</v>
      </c>
      <c r="G49" s="193">
        <f>'4_priedo_2'!K75</f>
        <v>0</v>
      </c>
      <c r="H49" s="186"/>
      <c r="I49" s="187"/>
      <c r="J49" s="188"/>
      <c r="K49" s="188"/>
      <c r="L49" s="188"/>
      <c r="M49" s="188"/>
      <c r="N49" s="85"/>
      <c r="O49" s="79"/>
      <c r="P49" s="79"/>
      <c r="Q49" s="79"/>
      <c r="R49" s="79"/>
      <c r="S49" s="79"/>
      <c r="T49" s="79"/>
      <c r="U49" s="79"/>
      <c r="V49" s="79"/>
    </row>
    <row r="50" spans="2:22" ht="47.25" customHeight="1" x14ac:dyDescent="0.25">
      <c r="B50" s="202" t="s">
        <v>264</v>
      </c>
      <c r="C50" s="202" t="s">
        <v>265</v>
      </c>
      <c r="D50" s="185"/>
      <c r="E50" s="185"/>
      <c r="F50" s="186"/>
      <c r="G50" s="186"/>
      <c r="H50" s="186"/>
      <c r="I50" s="186"/>
      <c r="J50" s="186"/>
      <c r="K50" s="186"/>
      <c r="L50" s="186"/>
      <c r="M50" s="186"/>
      <c r="N50" s="48"/>
      <c r="O50" s="79"/>
      <c r="P50" s="79"/>
      <c r="Q50" s="79"/>
      <c r="R50" s="79"/>
      <c r="S50" s="79"/>
      <c r="T50" s="79"/>
      <c r="U50" s="79"/>
      <c r="V50" s="79"/>
    </row>
    <row r="51" spans="2:22" ht="90.75" customHeight="1" x14ac:dyDescent="0.25">
      <c r="B51" s="202" t="s">
        <v>266</v>
      </c>
      <c r="C51" s="202" t="s">
        <v>267</v>
      </c>
      <c r="D51" s="186"/>
      <c r="E51" s="186"/>
      <c r="F51" s="186"/>
      <c r="G51" s="186"/>
      <c r="H51" s="186"/>
      <c r="I51" s="187"/>
      <c r="J51" s="188"/>
      <c r="K51" s="188"/>
      <c r="L51" s="188"/>
      <c r="M51" s="188"/>
      <c r="N51" s="85"/>
      <c r="O51" s="79"/>
      <c r="P51" s="79"/>
      <c r="Q51" s="79"/>
      <c r="R51" s="79"/>
      <c r="S51" s="79"/>
      <c r="T51" s="79"/>
      <c r="U51" s="79"/>
      <c r="V51" s="79"/>
    </row>
    <row r="52" spans="2:22" ht="154.5" customHeight="1" x14ac:dyDescent="0.25">
      <c r="B52" s="10"/>
      <c r="C52" s="196"/>
      <c r="D52" s="199"/>
      <c r="E52" s="199" t="s">
        <v>1229</v>
      </c>
      <c r="F52" s="193">
        <v>105</v>
      </c>
      <c r="G52" s="193">
        <v>108</v>
      </c>
      <c r="H52" s="186"/>
      <c r="I52" s="198"/>
      <c r="J52" s="188"/>
      <c r="K52" s="188"/>
      <c r="L52" s="188"/>
      <c r="M52" s="188"/>
      <c r="N52" s="48"/>
      <c r="O52" s="79"/>
      <c r="P52" s="79"/>
      <c r="Q52" s="87" t="s">
        <v>1227</v>
      </c>
      <c r="R52" s="289" t="s">
        <v>1228</v>
      </c>
      <c r="S52" s="87">
        <f>2125/1965*100</f>
        <v>108.14249363867685</v>
      </c>
      <c r="T52" s="79"/>
      <c r="U52" s="79"/>
      <c r="V52" s="79"/>
    </row>
    <row r="53" spans="2:22" ht="72" customHeight="1" x14ac:dyDescent="0.25">
      <c r="B53" s="194" t="s">
        <v>268</v>
      </c>
      <c r="C53" s="199" t="s">
        <v>269</v>
      </c>
      <c r="D53" s="185"/>
      <c r="E53" s="185"/>
      <c r="F53" s="186"/>
      <c r="G53" s="186"/>
      <c r="H53" s="186"/>
      <c r="I53" s="187"/>
      <c r="J53" s="188"/>
      <c r="K53" s="188"/>
      <c r="L53" s="188"/>
      <c r="M53" s="188"/>
      <c r="N53" s="85"/>
      <c r="O53" s="79"/>
      <c r="P53" s="79"/>
      <c r="Q53" s="79"/>
      <c r="R53" s="79"/>
      <c r="S53" s="79"/>
      <c r="T53" s="79"/>
      <c r="U53" s="79"/>
      <c r="V53" s="79"/>
    </row>
    <row r="54" spans="2:22" ht="131.25" customHeight="1" x14ac:dyDescent="0.25">
      <c r="B54" s="182"/>
      <c r="C54" s="187"/>
      <c r="D54" s="189"/>
      <c r="E54" s="189" t="s">
        <v>1053</v>
      </c>
      <c r="F54" s="190">
        <v>6</v>
      </c>
      <c r="G54" s="191">
        <v>1</v>
      </c>
      <c r="H54" s="186"/>
      <c r="I54" s="187"/>
      <c r="J54" s="188"/>
      <c r="K54" s="188"/>
      <c r="L54" s="188"/>
      <c r="M54" s="188"/>
      <c r="N54" s="85"/>
      <c r="O54" s="79"/>
      <c r="P54" s="79"/>
      <c r="Q54" s="79"/>
      <c r="R54" s="79"/>
      <c r="S54" s="79"/>
      <c r="T54" s="79"/>
      <c r="U54" s="79"/>
      <c r="V54" s="79"/>
    </row>
    <row r="55" spans="2:22" ht="85.5" customHeight="1" x14ac:dyDescent="0.25">
      <c r="B55" s="202" t="s">
        <v>270</v>
      </c>
      <c r="C55" s="202" t="s">
        <v>271</v>
      </c>
      <c r="D55" s="185"/>
      <c r="E55" s="185"/>
      <c r="F55" s="186"/>
      <c r="G55" s="186"/>
      <c r="H55" s="193">
        <f>'4_priedo_1'!H78</f>
        <v>1493838.7</v>
      </c>
      <c r="I55" s="195">
        <f>'4_priedo_1'!I78</f>
        <v>1181527.93</v>
      </c>
      <c r="J55" s="195">
        <f>'4_priedo_1'!K78</f>
        <v>312310.77</v>
      </c>
      <c r="K55" s="195">
        <f>'4_priedo_1'!P78</f>
        <v>1025303.3500000001</v>
      </c>
      <c r="L55" s="195">
        <f>'4_priedo_1'!Q78</f>
        <v>851530.08000000007</v>
      </c>
      <c r="M55" s="195">
        <f>'4_priedo_1'!S78</f>
        <v>173773.27000000005</v>
      </c>
      <c r="N55" s="48"/>
      <c r="O55" s="79"/>
      <c r="P55" s="79"/>
      <c r="Q55" s="79"/>
      <c r="R55" s="79"/>
      <c r="S55" s="79"/>
      <c r="T55" s="79"/>
      <c r="U55" s="79"/>
      <c r="V55" s="79"/>
    </row>
    <row r="56" spans="2:22" ht="117.75" customHeight="1" x14ac:dyDescent="0.25">
      <c r="B56" s="10"/>
      <c r="C56" s="196"/>
      <c r="D56" s="52" t="s">
        <v>718</v>
      </c>
      <c r="E56" s="52" t="s">
        <v>728</v>
      </c>
      <c r="F56" s="193">
        <f>SUM('4_priedo_2'!I80:'4_priedo_2'!I83)</f>
        <v>4</v>
      </c>
      <c r="G56" s="193">
        <f>SUM('4_priedo_2'!K80:'4_priedo_2'!K83)</f>
        <v>2</v>
      </c>
      <c r="H56" s="186"/>
      <c r="I56" s="198"/>
      <c r="J56" s="188"/>
      <c r="K56" s="188"/>
      <c r="L56" s="188"/>
      <c r="M56" s="188"/>
      <c r="N56" s="48"/>
      <c r="O56" s="79"/>
      <c r="P56" s="79"/>
      <c r="Q56" s="79"/>
      <c r="R56" s="79"/>
      <c r="S56" s="79"/>
      <c r="T56" s="79"/>
      <c r="U56" s="79"/>
      <c r="V56" s="79"/>
    </row>
    <row r="57" spans="2:22" ht="158.25" customHeight="1" x14ac:dyDescent="0.25">
      <c r="B57" s="10"/>
      <c r="C57" s="196"/>
      <c r="D57" s="52" t="s">
        <v>689</v>
      </c>
      <c r="E57" s="52" t="s">
        <v>729</v>
      </c>
      <c r="F57" s="193">
        <f>SUM('4_priedo_2'!N80:'4_priedo_2'!N83)</f>
        <v>8300</v>
      </c>
      <c r="G57" s="193">
        <f>SUM('4_priedo_2'!P80:'4_priedo_2'!P83)</f>
        <v>4200</v>
      </c>
      <c r="H57" s="186"/>
      <c r="I57" s="198"/>
      <c r="J57" s="188"/>
      <c r="K57" s="188"/>
      <c r="L57" s="188"/>
      <c r="M57" s="188"/>
      <c r="N57" s="48"/>
      <c r="O57" s="79"/>
      <c r="P57" s="79"/>
      <c r="Q57" s="79"/>
      <c r="R57" s="79"/>
      <c r="S57" s="79"/>
      <c r="T57" s="79"/>
      <c r="U57" s="79"/>
      <c r="V57" s="79"/>
    </row>
    <row r="58" spans="2:22" ht="63" customHeight="1" x14ac:dyDescent="0.25">
      <c r="B58" s="52" t="s">
        <v>292</v>
      </c>
      <c r="C58" s="52" t="s">
        <v>293</v>
      </c>
      <c r="D58" s="185"/>
      <c r="E58" s="185"/>
      <c r="F58" s="186"/>
      <c r="G58" s="186"/>
      <c r="H58" s="186"/>
      <c r="I58" s="187"/>
      <c r="J58" s="188"/>
      <c r="K58" s="188"/>
      <c r="L58" s="188"/>
      <c r="M58" s="188"/>
      <c r="N58" s="85"/>
      <c r="O58" s="79"/>
      <c r="P58" s="79"/>
      <c r="Q58" s="79"/>
      <c r="R58" s="79"/>
      <c r="S58" s="79"/>
      <c r="T58" s="79"/>
      <c r="U58" s="79"/>
      <c r="V58" s="79"/>
    </row>
    <row r="59" spans="2:22" ht="54.75" customHeight="1" x14ac:dyDescent="0.25">
      <c r="B59" s="182"/>
      <c r="C59" s="187"/>
      <c r="D59" s="189"/>
      <c r="E59" s="189" t="s">
        <v>1054</v>
      </c>
      <c r="F59" s="190">
        <v>6</v>
      </c>
      <c r="G59" s="191">
        <v>0</v>
      </c>
      <c r="H59" s="186"/>
      <c r="I59" s="187"/>
      <c r="J59" s="188"/>
      <c r="K59" s="188"/>
      <c r="L59" s="188"/>
      <c r="M59" s="188"/>
      <c r="N59" s="85"/>
      <c r="O59" s="79"/>
      <c r="P59" s="79"/>
      <c r="Q59" s="79"/>
      <c r="R59" s="79"/>
      <c r="S59" s="79"/>
      <c r="T59" s="79"/>
      <c r="U59" s="79"/>
      <c r="V59" s="79"/>
    </row>
    <row r="60" spans="2:22" ht="122.25" customHeight="1" x14ac:dyDescent="0.25">
      <c r="B60" s="202" t="s">
        <v>294</v>
      </c>
      <c r="C60" s="202" t="s">
        <v>295</v>
      </c>
      <c r="D60" s="182"/>
      <c r="E60" s="182"/>
      <c r="F60" s="182"/>
      <c r="G60" s="182"/>
      <c r="H60" s="199">
        <f>'4_priedo_1'!H84</f>
        <v>971293.24000000011</v>
      </c>
      <c r="I60" s="199">
        <f>'4_priedo_1'!I84</f>
        <v>825598.65</v>
      </c>
      <c r="J60" s="199">
        <f>'4_priedo_1'!K84</f>
        <v>145694.59000000003</v>
      </c>
      <c r="K60" s="199">
        <f>'4_priedo_1'!P84</f>
        <v>0</v>
      </c>
      <c r="L60" s="199">
        <f>'4_priedo_1'!Q84</f>
        <v>0</v>
      </c>
      <c r="M60" s="199">
        <f>'4_priedo_1'!S84</f>
        <v>0</v>
      </c>
      <c r="N60" s="85"/>
      <c r="O60" s="79"/>
      <c r="P60" s="79"/>
      <c r="Q60" s="203"/>
      <c r="R60" s="203"/>
      <c r="S60" s="79"/>
      <c r="T60" s="203"/>
      <c r="U60" s="203"/>
      <c r="V60" s="79"/>
    </row>
    <row r="61" spans="2:22" ht="56.25" customHeight="1" x14ac:dyDescent="0.25">
      <c r="B61" s="182"/>
      <c r="C61" s="182"/>
      <c r="D61" s="26" t="s">
        <v>706</v>
      </c>
      <c r="E61" s="26" t="s">
        <v>730</v>
      </c>
      <c r="F61" s="292">
        <f>'4_priedo_2'!I86+'4_priedo_2'!I87+'4_priedo_2'!I88</f>
        <v>184</v>
      </c>
      <c r="G61" s="292">
        <f>'4_priedo_2'!K86+'4_priedo_2'!K87+'4_priedo_2'!K88</f>
        <v>0</v>
      </c>
      <c r="H61" s="182"/>
      <c r="I61" s="182"/>
      <c r="J61" s="182"/>
      <c r="K61" s="182"/>
      <c r="L61" s="182"/>
      <c r="M61" s="182"/>
      <c r="N61" s="85"/>
      <c r="O61" s="79"/>
      <c r="P61" s="79"/>
      <c r="Q61" s="203"/>
      <c r="R61" s="203"/>
      <c r="S61" s="79"/>
      <c r="T61" s="203"/>
      <c r="U61" s="203"/>
      <c r="V61" s="79"/>
    </row>
    <row r="62" spans="2:22" ht="64.5" customHeight="1" x14ac:dyDescent="0.25">
      <c r="B62" s="52" t="s">
        <v>302</v>
      </c>
      <c r="C62" s="52" t="s">
        <v>1055</v>
      </c>
      <c r="D62" s="185"/>
      <c r="E62" s="185"/>
      <c r="F62" s="186"/>
      <c r="G62" s="186"/>
      <c r="H62" s="186"/>
      <c r="I62" s="198"/>
      <c r="J62" s="188"/>
      <c r="K62" s="188"/>
      <c r="L62" s="188"/>
      <c r="M62" s="188"/>
      <c r="N62" s="48"/>
      <c r="O62" s="79"/>
      <c r="P62" s="79"/>
      <c r="Q62" s="203"/>
      <c r="R62" s="203"/>
      <c r="S62" s="79"/>
      <c r="T62" s="203"/>
      <c r="U62" s="203"/>
      <c r="V62" s="79"/>
    </row>
    <row r="63" spans="2:22" ht="95.25" customHeight="1" x14ac:dyDescent="0.25">
      <c r="B63" s="204"/>
      <c r="C63" s="204"/>
      <c r="D63" s="200"/>
      <c r="E63" s="200" t="s">
        <v>1230</v>
      </c>
      <c r="F63" s="191">
        <v>1500</v>
      </c>
      <c r="G63" s="191">
        <v>2064.29</v>
      </c>
      <c r="H63" s="186"/>
      <c r="I63" s="198"/>
      <c r="J63" s="188"/>
      <c r="K63" s="188"/>
      <c r="L63" s="188"/>
      <c r="M63" s="188"/>
      <c r="N63" s="48"/>
      <c r="O63" s="79"/>
      <c r="P63" s="79"/>
      <c r="Q63" s="203"/>
      <c r="R63" s="203"/>
      <c r="S63" s="79"/>
      <c r="T63" s="203"/>
      <c r="U63" s="203"/>
      <c r="V63" s="79"/>
    </row>
    <row r="64" spans="2:22" ht="141" customHeight="1" x14ac:dyDescent="0.25">
      <c r="B64" s="52" t="s">
        <v>303</v>
      </c>
      <c r="C64" s="52" t="s">
        <v>304</v>
      </c>
      <c r="D64" s="185"/>
      <c r="E64" s="185"/>
      <c r="F64" s="186"/>
      <c r="G64" s="186"/>
      <c r="H64" s="205"/>
      <c r="I64" s="206"/>
      <c r="J64" s="207"/>
      <c r="K64" s="207"/>
      <c r="L64" s="207"/>
      <c r="M64" s="207"/>
      <c r="N64" s="48"/>
      <c r="O64" s="79"/>
      <c r="P64" s="79"/>
      <c r="Q64" s="79"/>
      <c r="R64" s="79"/>
      <c r="S64" s="79"/>
      <c r="T64" s="79"/>
      <c r="U64" s="79"/>
      <c r="V64" s="79"/>
    </row>
    <row r="65" spans="2:23" ht="94.5" customHeight="1" x14ac:dyDescent="0.25">
      <c r="B65" s="10"/>
      <c r="C65" s="196"/>
      <c r="D65" s="200"/>
      <c r="E65" s="200" t="s">
        <v>1056</v>
      </c>
      <c r="F65" s="191">
        <v>2000</v>
      </c>
      <c r="G65" s="191" t="s">
        <v>1065</v>
      </c>
      <c r="H65" s="186"/>
      <c r="I65" s="198"/>
      <c r="J65" s="188"/>
      <c r="K65" s="188"/>
      <c r="L65" s="188"/>
      <c r="M65" s="188"/>
      <c r="N65" s="48"/>
      <c r="O65" s="79"/>
      <c r="P65" s="79"/>
      <c r="Q65" s="79"/>
      <c r="R65" s="79"/>
      <c r="S65" s="79"/>
      <c r="T65" s="79"/>
      <c r="U65" s="79"/>
      <c r="V65" s="79"/>
    </row>
    <row r="66" spans="2:23" ht="116.25" customHeight="1" x14ac:dyDescent="0.25">
      <c r="B66" s="10"/>
      <c r="C66" s="196"/>
      <c r="D66" s="200"/>
      <c r="E66" s="200" t="s">
        <v>1057</v>
      </c>
      <c r="F66" s="191">
        <v>90</v>
      </c>
      <c r="G66" s="191">
        <v>86</v>
      </c>
      <c r="H66" s="186"/>
      <c r="I66" s="198"/>
      <c r="J66" s="188"/>
      <c r="K66" s="188"/>
      <c r="L66" s="188"/>
      <c r="M66" s="188"/>
      <c r="N66" s="48"/>
      <c r="O66" s="87">
        <f>98.7+29.1</f>
        <v>127.80000000000001</v>
      </c>
      <c r="P66" s="289" t="s">
        <v>1245</v>
      </c>
      <c r="Q66" s="87" t="s">
        <v>1246</v>
      </c>
      <c r="R66" s="87" t="s">
        <v>1243</v>
      </c>
      <c r="S66" s="294" t="s">
        <v>1244</v>
      </c>
      <c r="T66" s="87">
        <f>85+83+82+92</f>
        <v>342</v>
      </c>
      <c r="U66" s="295">
        <f>T66/4</f>
        <v>85.5</v>
      </c>
      <c r="V66" s="87"/>
      <c r="W66" s="296"/>
    </row>
    <row r="67" spans="2:23" ht="113.25" customHeight="1" x14ac:dyDescent="0.25">
      <c r="B67" s="10"/>
      <c r="C67" s="196"/>
      <c r="D67" s="200"/>
      <c r="E67" s="200" t="s">
        <v>1058</v>
      </c>
      <c r="F67" s="191">
        <v>90</v>
      </c>
      <c r="G67" s="191">
        <v>54</v>
      </c>
      <c r="H67" s="186"/>
      <c r="I67" s="198"/>
      <c r="J67" s="188"/>
      <c r="K67" s="188"/>
      <c r="L67" s="188"/>
      <c r="M67" s="188"/>
      <c r="N67" s="48"/>
      <c r="O67" s="87">
        <f>O66/2</f>
        <v>63.900000000000006</v>
      </c>
      <c r="P67" s="87">
        <v>64</v>
      </c>
      <c r="Q67" s="87"/>
      <c r="R67" s="87"/>
      <c r="S67" s="87">
        <f>5858/13649*100</f>
        <v>42.918895157154367</v>
      </c>
      <c r="T67" s="87"/>
      <c r="U67" s="87"/>
      <c r="V67" s="87">
        <f>64+43</f>
        <v>107</v>
      </c>
      <c r="W67" s="38">
        <f>V67/2</f>
        <v>53.5</v>
      </c>
    </row>
    <row r="68" spans="2:23" ht="70.5" customHeight="1" x14ac:dyDescent="0.25">
      <c r="B68" s="10"/>
      <c r="C68" s="196"/>
      <c r="D68" s="200"/>
      <c r="E68" s="200" t="s">
        <v>1059</v>
      </c>
      <c r="F68" s="191">
        <v>35</v>
      </c>
      <c r="G68" s="191">
        <v>57</v>
      </c>
      <c r="H68" s="186"/>
      <c r="I68" s="198"/>
      <c r="J68" s="188"/>
      <c r="K68" s="188"/>
      <c r="L68" s="188"/>
      <c r="M68" s="188"/>
      <c r="N68" s="48"/>
      <c r="O68" s="79"/>
      <c r="P68" s="79"/>
      <c r="Q68" s="290">
        <f>28128.82*0.7636</f>
        <v>21479.166952</v>
      </c>
      <c r="R68" s="295">
        <f>Q68/37645.44*100</f>
        <v>57.056490645347743</v>
      </c>
      <c r="S68" s="79"/>
      <c r="T68" s="79"/>
      <c r="U68" s="79"/>
      <c r="V68" s="79"/>
    </row>
    <row r="69" spans="2:23" ht="144" customHeight="1" x14ac:dyDescent="0.25">
      <c r="B69" s="52" t="s">
        <v>305</v>
      </c>
      <c r="C69" s="52" t="s">
        <v>306</v>
      </c>
      <c r="D69" s="185"/>
      <c r="E69" s="185"/>
      <c r="F69" s="186"/>
      <c r="G69" s="186"/>
      <c r="H69" s="193">
        <f>'4_priedo_1'!H91</f>
        <v>14893271.4</v>
      </c>
      <c r="I69" s="210">
        <f>'4_priedo_1'!I91</f>
        <v>8830993.7300000004</v>
      </c>
      <c r="J69" s="210">
        <f>'4_priedo_1'!K91</f>
        <v>6062277.6700000009</v>
      </c>
      <c r="K69" s="195">
        <f>'4_priedo_1'!P91</f>
        <v>22463872.570000004</v>
      </c>
      <c r="L69" s="195">
        <f>'4_priedo_1'!Q91</f>
        <v>7372371.5100000007</v>
      </c>
      <c r="M69" s="195">
        <f>'4_priedo_1'!S91</f>
        <v>15091501.060000002</v>
      </c>
      <c r="N69" s="48"/>
      <c r="O69" s="79"/>
      <c r="P69" s="79"/>
      <c r="Q69" s="79"/>
      <c r="R69" s="79"/>
      <c r="S69" s="79"/>
      <c r="T69" s="79"/>
      <c r="U69" s="79"/>
      <c r="V69" s="79"/>
    </row>
    <row r="70" spans="2:23" ht="90.75" customHeight="1" x14ac:dyDescent="0.25">
      <c r="B70" s="10"/>
      <c r="C70" s="196"/>
      <c r="D70" s="52" t="s">
        <v>717</v>
      </c>
      <c r="E70" s="52" t="s">
        <v>731</v>
      </c>
      <c r="F70" s="191">
        <f>'4_priedo_2'!I92+'4_priedo_2'!I94+'4_priedo_2'!X95+'4_priedo_2'!X96+'4_priedo_2'!I98+'4_priedo_2'!S102</f>
        <v>28.39</v>
      </c>
      <c r="G70" s="191">
        <f>'4_priedo_2'!K92+'4_priedo_2'!K94+'4_priedo_2'!Z95+'4_priedo_2'!Z96+'4_priedo_2'!K98+'4_priedo_2'!U102</f>
        <v>26.04</v>
      </c>
      <c r="H70" s="186"/>
      <c r="I70" s="198"/>
      <c r="J70" s="188"/>
      <c r="K70" s="188"/>
      <c r="L70" s="188"/>
      <c r="M70" s="188"/>
      <c r="N70" s="48"/>
      <c r="O70" s="79"/>
      <c r="P70" s="79"/>
      <c r="Q70" s="79"/>
      <c r="R70" s="79"/>
      <c r="S70" s="79"/>
      <c r="T70" s="79"/>
      <c r="U70" s="79"/>
      <c r="V70" s="79"/>
    </row>
    <row r="71" spans="2:23" ht="168" customHeight="1" x14ac:dyDescent="0.25">
      <c r="B71" s="10"/>
      <c r="C71" s="196"/>
      <c r="D71" s="52" t="s">
        <v>693</v>
      </c>
      <c r="E71" s="52" t="s">
        <v>732</v>
      </c>
      <c r="F71" s="191">
        <f>'4_priedo_2'!N92+'4_priedo_2'!I93+'4_priedo_2'!I95+'4_priedo_2'!I96+'4_priedo_2'!I97+'4_priedo_2'!I99+'4_priedo_2'!I100+'4_priedo_2'!I101+'4_priedo_2'!I102</f>
        <v>1531</v>
      </c>
      <c r="G71" s="191">
        <f>'4_priedo_2'!P92+'4_priedo_2'!K93+'4_priedo_2'!K95+'4_priedo_2'!K96+'4_priedo_2'!K97+'4_priedo_2'!K99+'4_priedo_2'!K100+'4_priedo_2'!K101+'4_priedo_2'!K102</f>
        <v>388</v>
      </c>
      <c r="H71" s="186"/>
      <c r="I71" s="198"/>
      <c r="J71" s="188"/>
      <c r="K71" s="188"/>
      <c r="L71" s="188"/>
      <c r="M71" s="188"/>
      <c r="N71" s="48"/>
      <c r="O71" s="79"/>
      <c r="P71" s="79"/>
      <c r="Q71" s="79"/>
      <c r="R71" s="79"/>
      <c r="S71" s="79"/>
      <c r="T71" s="79"/>
      <c r="U71" s="79"/>
      <c r="V71" s="79"/>
    </row>
    <row r="72" spans="2:23" ht="90.75" customHeight="1" x14ac:dyDescent="0.25">
      <c r="B72" s="10"/>
      <c r="C72" s="196"/>
      <c r="D72" s="52" t="s">
        <v>694</v>
      </c>
      <c r="E72" s="52" t="s">
        <v>733</v>
      </c>
      <c r="F72" s="191">
        <f>'4_priedo_2'!S92</f>
        <v>1298</v>
      </c>
      <c r="G72" s="191">
        <f>'4_priedo_2'!U92</f>
        <v>1298</v>
      </c>
      <c r="H72" s="186"/>
      <c r="I72" s="198"/>
      <c r="J72" s="188"/>
      <c r="K72" s="188"/>
      <c r="L72" s="188"/>
      <c r="M72" s="188"/>
      <c r="N72" s="48"/>
      <c r="O72" s="79"/>
      <c r="P72" s="79"/>
      <c r="Q72" s="79"/>
      <c r="R72" s="79"/>
      <c r="S72" s="79"/>
      <c r="T72" s="79"/>
      <c r="U72" s="79"/>
      <c r="V72" s="79"/>
    </row>
    <row r="73" spans="2:23" ht="90.75" customHeight="1" x14ac:dyDescent="0.25">
      <c r="B73" s="10"/>
      <c r="C73" s="196"/>
      <c r="D73" s="52" t="s">
        <v>695</v>
      </c>
      <c r="E73" s="26" t="s">
        <v>734</v>
      </c>
      <c r="F73" s="191">
        <f>'4_priedo_2'!X92+'4_priedo_2'!N93+'4_priedo_2'!N95+'4_priedo_2'!N96+'4_priedo_2'!N97+'4_priedo_2'!S99+'4_priedo_2'!N100+'4_priedo_2'!N101+'4_priedo_2'!N102</f>
        <v>2236</v>
      </c>
      <c r="G73" s="191">
        <f>'4_priedo_2'!Z92+'4_priedo_2'!P93+'4_priedo_2'!P95+'4_priedo_2'!P96+'4_priedo_2'!P97+'4_priedo_2'!U99+'4_priedo_2'!P100+'4_priedo_2'!P101+'4_priedo_2'!P102</f>
        <v>488</v>
      </c>
      <c r="H73" s="186"/>
      <c r="I73" s="198"/>
      <c r="J73" s="188"/>
      <c r="K73" s="188"/>
      <c r="L73" s="188"/>
      <c r="M73" s="188"/>
      <c r="N73" s="48"/>
      <c r="O73" s="79"/>
      <c r="P73" s="79"/>
      <c r="Q73" s="79"/>
      <c r="R73" s="79"/>
      <c r="S73" s="79"/>
      <c r="T73" s="79"/>
      <c r="U73" s="79"/>
      <c r="V73" s="79"/>
    </row>
    <row r="74" spans="2:23" ht="90.75" customHeight="1" x14ac:dyDescent="0.25">
      <c r="B74" s="10"/>
      <c r="C74" s="196"/>
      <c r="D74" s="26" t="s">
        <v>696</v>
      </c>
      <c r="E74" s="26" t="s">
        <v>735</v>
      </c>
      <c r="F74" s="191">
        <f>'4_priedo_2'!AC92+'4_priedo_2'!S93+'4_priedo_2'!S95+'4_priedo_2'!S96+'4_priedo_2'!S101</f>
        <v>675</v>
      </c>
      <c r="G74" s="191">
        <f>'4_priedo_2'!AE92+'4_priedo_2'!U93+'4_priedo_2'!U95+'4_priedo_2'!U96+'4_priedo_2'!U101</f>
        <v>296</v>
      </c>
      <c r="H74" s="186"/>
      <c r="I74" s="198"/>
      <c r="J74" s="188"/>
      <c r="K74" s="188"/>
      <c r="L74" s="188"/>
      <c r="M74" s="188"/>
      <c r="N74" s="48"/>
      <c r="O74" s="79"/>
      <c r="P74" s="79"/>
      <c r="Q74" s="79"/>
      <c r="R74" s="79"/>
      <c r="S74" s="79"/>
      <c r="T74" s="79"/>
      <c r="U74" s="79"/>
      <c r="V74" s="79"/>
    </row>
    <row r="75" spans="2:23" ht="90.75" customHeight="1" x14ac:dyDescent="0.25">
      <c r="B75" s="10"/>
      <c r="C75" s="196"/>
      <c r="D75" s="26" t="s">
        <v>736</v>
      </c>
      <c r="E75" s="26" t="s">
        <v>737</v>
      </c>
      <c r="F75" s="191">
        <f>'4_priedo_2'!AH92+'4_priedo_2'!X93+'4_priedo_2'!AC95+'4_priedo_2'!AC96+'4_priedo_2'!S97+'4_priedo_2'!AC99+'4_priedo_2'!S100+'4_priedo_2'!X101</f>
        <v>2797</v>
      </c>
      <c r="G75" s="191">
        <f>'4_priedo_2'!AJ92+'4_priedo_2'!Z93+'4_priedo_2'!AE95+'4_priedo_2'!AE96+'4_priedo_2'!U97+'4_priedo_2'!AE99+'4_priedo_2'!U100+'4_priedo_2'!Z101</f>
        <v>1687</v>
      </c>
      <c r="H75" s="186"/>
      <c r="I75" s="198"/>
      <c r="J75" s="188"/>
      <c r="K75" s="188"/>
      <c r="L75" s="188"/>
      <c r="M75" s="188"/>
      <c r="N75" s="48"/>
      <c r="O75" s="79"/>
      <c r="P75" s="79"/>
      <c r="Q75" s="79"/>
      <c r="R75" s="79"/>
      <c r="S75" s="79"/>
      <c r="T75" s="79"/>
      <c r="U75" s="79"/>
      <c r="V75" s="79"/>
    </row>
    <row r="76" spans="2:23" ht="90.75" customHeight="1" x14ac:dyDescent="0.25">
      <c r="B76" s="10"/>
      <c r="C76" s="196"/>
      <c r="D76" s="26" t="s">
        <v>738</v>
      </c>
      <c r="E76" s="26" t="s">
        <v>739</v>
      </c>
      <c r="F76" s="191">
        <f>'4_priedo_2'!AM92+'4_priedo_2'!AC93+'4_priedo_2'!AH95+'4_priedo_2'!AH96+'4_priedo_2'!X97+'4_priedo_2'!AH99+'4_priedo_2'!X100+'4_priedo_2'!AC101+'4_priedo_2'!X102</f>
        <v>2485</v>
      </c>
      <c r="G76" s="191">
        <f>'4_priedo_2'!AO92+'4_priedo_2'!AE93+'4_priedo_2'!AJ95+'4_priedo_2'!AJ96+'4_priedo_2'!Z97+'4_priedo_2'!AJ99+'4_priedo_2'!Z100+'4_priedo_2'!AE101+'4_priedo_2'!Z102</f>
        <v>750</v>
      </c>
      <c r="H76" s="186"/>
      <c r="I76" s="198"/>
      <c r="J76" s="188"/>
      <c r="K76" s="188"/>
      <c r="L76" s="188"/>
      <c r="M76" s="188"/>
      <c r="N76" s="48"/>
      <c r="O76" s="79"/>
      <c r="P76" s="79"/>
      <c r="Q76" s="79"/>
      <c r="R76" s="79"/>
      <c r="S76" s="79"/>
      <c r="T76" s="79"/>
      <c r="U76" s="79"/>
      <c r="V76" s="79"/>
    </row>
    <row r="77" spans="2:23" ht="65.25" customHeight="1" x14ac:dyDescent="0.25">
      <c r="B77" s="52" t="s">
        <v>350</v>
      </c>
      <c r="C77" s="52" t="s">
        <v>351</v>
      </c>
      <c r="D77" s="185"/>
      <c r="E77" s="185"/>
      <c r="F77" s="186"/>
      <c r="G77" s="186"/>
      <c r="H77" s="193">
        <f>'4_priedo_1'!H103</f>
        <v>1876374.99</v>
      </c>
      <c r="I77" s="195">
        <f>'4_priedo_1'!I103</f>
        <v>1594918.74</v>
      </c>
      <c r="J77" s="195">
        <f>'4_priedo_1'!K103</f>
        <v>281456.25</v>
      </c>
      <c r="K77" s="195">
        <f>'4_priedo_1'!P103</f>
        <v>1439845.48</v>
      </c>
      <c r="L77" s="195">
        <f>'4_priedo_1'!Q103</f>
        <v>1223868.6599999999</v>
      </c>
      <c r="M77" s="195">
        <f>'4_priedo_1'!S103</f>
        <v>215976.81999999998</v>
      </c>
      <c r="N77" s="48"/>
      <c r="O77" s="79"/>
      <c r="P77" s="79"/>
      <c r="Q77" s="79"/>
      <c r="R77" s="79"/>
      <c r="S77" s="79"/>
      <c r="T77" s="79"/>
      <c r="U77" s="79"/>
      <c r="V77" s="79"/>
    </row>
    <row r="78" spans="2:23" ht="169.5" customHeight="1" x14ac:dyDescent="0.25">
      <c r="B78" s="10"/>
      <c r="C78" s="196"/>
      <c r="D78" s="52" t="s">
        <v>715</v>
      </c>
      <c r="E78" s="52" t="s">
        <v>740</v>
      </c>
      <c r="F78" s="191">
        <f>'4_priedo_2'!I104+'4_priedo_2'!I105</f>
        <v>124.5</v>
      </c>
      <c r="G78" s="191">
        <f>'4_priedo_2'!K104+'4_priedo_2'!K105</f>
        <v>132.02000000000001</v>
      </c>
      <c r="H78" s="186"/>
      <c r="I78" s="198"/>
      <c r="J78" s="188"/>
      <c r="K78" s="188"/>
      <c r="L78" s="188"/>
      <c r="M78" s="188"/>
      <c r="N78" s="48"/>
      <c r="O78" s="79"/>
      <c r="P78" s="79"/>
      <c r="Q78" s="79"/>
      <c r="R78" s="79"/>
      <c r="S78" s="79"/>
      <c r="T78" s="79"/>
      <c r="U78" s="79"/>
      <c r="V78" s="79"/>
    </row>
    <row r="79" spans="2:23" ht="92.25" customHeight="1" x14ac:dyDescent="0.25">
      <c r="B79" s="10"/>
      <c r="C79" s="196"/>
      <c r="D79" s="52" t="s">
        <v>692</v>
      </c>
      <c r="E79" s="52" t="s">
        <v>741</v>
      </c>
      <c r="F79" s="191">
        <f>'4_priedo_2'!N104</f>
        <v>20.25</v>
      </c>
      <c r="G79" s="191">
        <f>'4_priedo_2'!P104</f>
        <v>19.899999999999999</v>
      </c>
      <c r="H79" s="186"/>
      <c r="I79" s="198"/>
      <c r="J79" s="188"/>
      <c r="K79" s="188"/>
      <c r="L79" s="188"/>
      <c r="M79" s="188"/>
      <c r="N79" s="48"/>
      <c r="O79" s="79"/>
      <c r="P79" s="79"/>
      <c r="Q79" s="79"/>
      <c r="R79" s="79"/>
      <c r="S79" s="79"/>
      <c r="T79" s="79"/>
      <c r="U79" s="79"/>
      <c r="V79" s="79"/>
    </row>
    <row r="80" spans="2:23" ht="104.25" customHeight="1" x14ac:dyDescent="0.25">
      <c r="B80" s="55" t="s">
        <v>362</v>
      </c>
      <c r="C80" s="55" t="s">
        <v>363</v>
      </c>
      <c r="D80" s="185"/>
      <c r="E80" s="185"/>
      <c r="F80" s="186"/>
      <c r="G80" s="186"/>
      <c r="H80" s="193">
        <f>'4_priedo_1'!H106</f>
        <v>3251580.6900000004</v>
      </c>
      <c r="I80" s="195">
        <f>'4_priedo_1'!I106</f>
        <v>2741982.62</v>
      </c>
      <c r="J80" s="195">
        <f>'4_priedo_1'!K106</f>
        <v>509598.06999999983</v>
      </c>
      <c r="K80" s="195">
        <f>'4_priedo_1'!P106</f>
        <v>2978496.6799999997</v>
      </c>
      <c r="L80" s="195">
        <f>'4_priedo_1'!Q106</f>
        <v>2530025.8500000006</v>
      </c>
      <c r="M80" s="195">
        <f>'4_priedo_1'!S106</f>
        <v>448470.8299999999</v>
      </c>
      <c r="N80" s="48"/>
      <c r="O80" s="79"/>
      <c r="P80" s="79"/>
      <c r="Q80" s="79"/>
      <c r="R80" s="79"/>
      <c r="S80" s="79"/>
      <c r="T80" s="79"/>
      <c r="U80" s="79"/>
      <c r="V80" s="79"/>
    </row>
    <row r="81" spans="2:23" ht="91.5" customHeight="1" x14ac:dyDescent="0.25">
      <c r="B81" s="10"/>
      <c r="C81" s="196"/>
      <c r="D81" s="52" t="s">
        <v>716</v>
      </c>
      <c r="E81" s="52" t="s">
        <v>742</v>
      </c>
      <c r="F81" s="191">
        <f>SUM('4_priedo_2'!I107:'4_priedo_2'!I112)</f>
        <v>10915.1</v>
      </c>
      <c r="G81" s="191">
        <f>SUM('4_priedo_2'!K107:'4_priedo_2'!K112)</f>
        <v>4802.25</v>
      </c>
      <c r="H81" s="186"/>
      <c r="I81" s="198"/>
      <c r="J81" s="188"/>
      <c r="K81" s="188"/>
      <c r="L81" s="188"/>
      <c r="M81" s="188"/>
      <c r="N81" s="48"/>
      <c r="O81" s="79"/>
      <c r="P81" s="291"/>
      <c r="Q81" s="291"/>
      <c r="R81" s="291"/>
      <c r="S81" s="291"/>
      <c r="T81" s="79"/>
      <c r="U81" s="79"/>
      <c r="V81" s="79"/>
    </row>
    <row r="82" spans="2:23" ht="47.25" customHeight="1" x14ac:dyDescent="0.25">
      <c r="B82" s="52" t="s">
        <v>389</v>
      </c>
      <c r="C82" s="52" t="s">
        <v>390</v>
      </c>
      <c r="D82" s="185"/>
      <c r="E82" s="185"/>
      <c r="F82" s="186"/>
      <c r="G82" s="186"/>
      <c r="H82" s="193">
        <f>'4_priedo_1'!H113</f>
        <v>3751495.1299999994</v>
      </c>
      <c r="I82" s="209">
        <f>'4_priedo_1'!I113</f>
        <v>2995847</v>
      </c>
      <c r="J82" s="210">
        <f>'4_priedo_1'!K113</f>
        <v>755648.13000000012</v>
      </c>
      <c r="K82" s="195">
        <f>'4_priedo_1'!P113</f>
        <v>1462706.56</v>
      </c>
      <c r="L82" s="195">
        <f>'4_priedo_1'!Q113</f>
        <v>1287558.45</v>
      </c>
      <c r="M82" s="195">
        <f>'4_priedo_1'!S113</f>
        <v>175148.11</v>
      </c>
      <c r="N82" s="48"/>
      <c r="O82" s="79"/>
      <c r="P82" s="79"/>
      <c r="Q82" s="79"/>
      <c r="R82" s="79"/>
      <c r="S82" s="79"/>
      <c r="T82" s="79"/>
      <c r="U82" s="79"/>
      <c r="V82" s="79"/>
    </row>
    <row r="83" spans="2:23" ht="91.5" customHeight="1" x14ac:dyDescent="0.25">
      <c r="B83" s="204"/>
      <c r="C83" s="204"/>
      <c r="D83" s="52" t="s">
        <v>722</v>
      </c>
      <c r="E83" s="52" t="s">
        <v>745</v>
      </c>
      <c r="F83" s="193">
        <f>'4_priedo_2'!N115+'4_priedo_2'!N116+'4_priedo_2'!N117+'4_priedo_2'!N118+'4_priedo_2'!I119+'4_priedo_2'!N120+'4_priedo_2'!N121+'4_priedo_2'!S122+'4_priedo_2'!S123+'4_priedo_2'!N124+'4_priedo_2'!N125</f>
        <v>97.10799999999999</v>
      </c>
      <c r="G83" s="193">
        <f>'4_priedo_2'!P115+'4_priedo_2'!P116+'4_priedo_2'!P117+'4_priedo_2'!P118+'4_priedo_2'!K119+'4_priedo_2'!P120+'4_priedo_2'!P121+'4_priedo_2'!U122+'4_priedo_2'!U123+'4_priedo_2'!P124+'4_priedo_2'!P125</f>
        <v>26.68</v>
      </c>
      <c r="H83" s="186"/>
      <c r="I83" s="198"/>
      <c r="J83" s="188"/>
      <c r="K83" s="188"/>
      <c r="L83" s="188"/>
      <c r="M83" s="188"/>
      <c r="N83" s="48"/>
      <c r="O83" s="79"/>
      <c r="P83" s="79"/>
      <c r="Q83" s="79"/>
      <c r="R83" s="79"/>
      <c r="S83" s="79"/>
      <c r="T83" s="79"/>
      <c r="U83" s="79"/>
      <c r="V83" s="79"/>
    </row>
    <row r="84" spans="2:23" ht="160.5" customHeight="1" x14ac:dyDescent="0.25">
      <c r="B84" s="10"/>
      <c r="C84" s="196"/>
      <c r="D84" s="52" t="s">
        <v>697</v>
      </c>
      <c r="E84" s="52" t="s">
        <v>743</v>
      </c>
      <c r="F84" s="191">
        <f>'4_priedo_2'!I114+'4_priedo_2'!N122+'4_priedo_2'!I123</f>
        <v>5</v>
      </c>
      <c r="G84" s="191">
        <f>'4_priedo_2'!K114+'4_priedo_2'!P122+'4_priedo_2'!K123</f>
        <v>0</v>
      </c>
      <c r="H84" s="186"/>
      <c r="I84" s="198"/>
      <c r="J84" s="188"/>
      <c r="K84" s="188"/>
      <c r="L84" s="188"/>
      <c r="M84" s="188"/>
      <c r="N84" s="48"/>
      <c r="O84" s="79"/>
      <c r="P84" s="79"/>
      <c r="Q84" s="79"/>
      <c r="R84" s="79"/>
      <c r="S84" s="79"/>
      <c r="T84" s="79"/>
      <c r="U84" s="79"/>
      <c r="V84" s="79"/>
    </row>
    <row r="85" spans="2:23" ht="95.25" customHeight="1" x14ac:dyDescent="0.25">
      <c r="B85" s="10"/>
      <c r="C85" s="196"/>
      <c r="D85" s="52" t="s">
        <v>698</v>
      </c>
      <c r="E85" s="52" t="s">
        <v>744</v>
      </c>
      <c r="F85" s="191">
        <f>'4_priedo_2'!I115+'4_priedo_2'!I118+'4_priedo_2'!N119+'4_priedo_2'!I121+'4_priedo_2'!I122+'4_priedo_2'!I124+'4_priedo_2'!I125+'4_priedo_2'!AC123</f>
        <v>201</v>
      </c>
      <c r="G85" s="191">
        <f>'4_priedo_2'!K115+'4_priedo_2'!K118+'4_priedo_2'!P119+'4_priedo_2'!K121+'4_priedo_2'!K122+'4_priedo_2'!AE123+'4_priedo_2'!K124+'4_priedo_2'!K125</f>
        <v>167</v>
      </c>
      <c r="H85" s="186"/>
      <c r="I85" s="198"/>
      <c r="J85" s="188"/>
      <c r="K85" s="188"/>
      <c r="L85" s="188"/>
      <c r="M85" s="188"/>
      <c r="N85" s="48"/>
      <c r="O85" s="79"/>
      <c r="P85" s="79"/>
      <c r="Q85" s="79"/>
      <c r="R85" s="79"/>
      <c r="S85" s="79"/>
      <c r="T85" s="79"/>
      <c r="U85" s="79"/>
      <c r="V85" s="79"/>
    </row>
    <row r="86" spans="2:23" ht="67.5" customHeight="1" x14ac:dyDescent="0.25">
      <c r="B86" s="10"/>
      <c r="C86" s="196"/>
      <c r="D86" s="50" t="s">
        <v>725</v>
      </c>
      <c r="E86" s="50" t="s">
        <v>747</v>
      </c>
      <c r="F86" s="191">
        <f>'4_priedo_2'!X123</f>
        <v>2</v>
      </c>
      <c r="G86" s="191">
        <f>'4_priedo_2'!Z123</f>
        <v>0</v>
      </c>
      <c r="H86" s="186"/>
      <c r="I86" s="198"/>
      <c r="J86" s="188"/>
      <c r="K86" s="188"/>
      <c r="L86" s="188"/>
      <c r="M86" s="188"/>
      <c r="N86" s="48"/>
      <c r="O86" s="79"/>
      <c r="P86" s="79"/>
      <c r="Q86" s="79"/>
      <c r="R86" s="79"/>
      <c r="S86" s="79"/>
      <c r="T86" s="79"/>
      <c r="U86" s="79"/>
      <c r="V86" s="79"/>
    </row>
    <row r="87" spans="2:23" ht="121.5" customHeight="1" x14ac:dyDescent="0.25">
      <c r="B87" s="10"/>
      <c r="C87" s="196"/>
      <c r="D87" s="52" t="s">
        <v>719</v>
      </c>
      <c r="E87" s="52" t="s">
        <v>746</v>
      </c>
      <c r="F87" s="191">
        <f>'4_priedo_2'!N123</f>
        <v>1</v>
      </c>
      <c r="G87" s="191">
        <f>'4_priedo_2'!P123</f>
        <v>0</v>
      </c>
      <c r="H87" s="186"/>
      <c r="I87" s="198"/>
      <c r="J87" s="188"/>
      <c r="K87" s="188"/>
      <c r="L87" s="188"/>
      <c r="M87" s="188"/>
      <c r="N87" s="48"/>
      <c r="O87" s="79"/>
      <c r="P87" s="79"/>
      <c r="Q87" s="79"/>
      <c r="R87" s="79"/>
      <c r="S87" s="79"/>
      <c r="T87" s="79"/>
      <c r="U87" s="79"/>
      <c r="V87" s="79"/>
    </row>
    <row r="88" spans="2:23" ht="78.75" customHeight="1" x14ac:dyDescent="0.25">
      <c r="B88" s="50" t="s">
        <v>425</v>
      </c>
      <c r="C88" s="50" t="s">
        <v>426</v>
      </c>
      <c r="D88" s="185"/>
      <c r="E88" s="185"/>
      <c r="F88" s="186"/>
      <c r="G88" s="186"/>
      <c r="H88" s="186"/>
      <c r="I88" s="198"/>
      <c r="J88" s="188"/>
      <c r="K88" s="188"/>
      <c r="L88" s="188"/>
      <c r="M88" s="188"/>
      <c r="N88" s="48"/>
      <c r="O88" s="79"/>
      <c r="P88" s="79"/>
      <c r="Q88" s="79"/>
      <c r="R88" s="79"/>
      <c r="S88" s="79"/>
      <c r="T88" s="79"/>
      <c r="U88" s="79"/>
      <c r="V88" s="79"/>
    </row>
    <row r="89" spans="2:23" ht="67.5" customHeight="1" x14ac:dyDescent="0.25">
      <c r="B89" s="10"/>
      <c r="C89" s="196"/>
      <c r="D89" s="200"/>
      <c r="E89" s="200" t="s">
        <v>1060</v>
      </c>
      <c r="F89" s="191">
        <v>100</v>
      </c>
      <c r="G89" s="191">
        <v>139</v>
      </c>
      <c r="H89" s="186"/>
      <c r="I89" s="198"/>
      <c r="J89" s="188"/>
      <c r="K89" s="188"/>
      <c r="L89" s="188"/>
      <c r="M89" s="188"/>
      <c r="N89" s="48"/>
      <c r="O89" s="79"/>
      <c r="P89" s="291"/>
      <c r="Q89" s="289" t="s">
        <v>1231</v>
      </c>
      <c r="R89" s="289" t="s">
        <v>1232</v>
      </c>
      <c r="S89" s="290">
        <f>11.7/8.4</f>
        <v>1.3928571428571428</v>
      </c>
      <c r="T89" s="290"/>
      <c r="U89" s="289" t="s">
        <v>1233</v>
      </c>
      <c r="V89" s="289" t="s">
        <v>1234</v>
      </c>
      <c r="W89" s="39">
        <f>12.5/7.8</f>
        <v>1.6025641025641026</v>
      </c>
    </row>
    <row r="90" spans="2:23" ht="108.75" customHeight="1" x14ac:dyDescent="0.25">
      <c r="B90" s="52" t="s">
        <v>427</v>
      </c>
      <c r="C90" s="52" t="s">
        <v>428</v>
      </c>
      <c r="D90" s="185"/>
      <c r="E90" s="185"/>
      <c r="F90" s="186"/>
      <c r="G90" s="186"/>
      <c r="H90" s="193"/>
      <c r="I90" s="197"/>
      <c r="J90" s="195"/>
      <c r="K90" s="195"/>
      <c r="L90" s="195"/>
      <c r="M90" s="195"/>
      <c r="N90" s="48"/>
      <c r="O90" s="79"/>
      <c r="P90" s="79"/>
      <c r="Q90" s="79"/>
      <c r="R90" s="79"/>
      <c r="S90" s="79"/>
      <c r="T90" s="79"/>
      <c r="U90" s="79"/>
      <c r="V90" s="79"/>
    </row>
    <row r="91" spans="2:23" ht="78.75" customHeight="1" x14ac:dyDescent="0.25">
      <c r="B91" s="10"/>
      <c r="C91" s="196"/>
      <c r="D91" s="200"/>
      <c r="E91" s="200" t="s">
        <v>1235</v>
      </c>
      <c r="F91" s="191">
        <v>346229</v>
      </c>
      <c r="G91" s="191">
        <v>371400</v>
      </c>
      <c r="H91" s="186"/>
      <c r="I91" s="198"/>
      <c r="J91" s="188"/>
      <c r="K91" s="188"/>
      <c r="L91" s="188"/>
      <c r="M91" s="188"/>
      <c r="N91" s="48"/>
      <c r="O91" s="79"/>
      <c r="P91" s="79"/>
      <c r="Q91" s="79"/>
      <c r="R91" s="79"/>
      <c r="U91" s="79"/>
      <c r="V91" s="79"/>
    </row>
    <row r="92" spans="2:23" ht="106.5" customHeight="1" x14ac:dyDescent="0.25">
      <c r="B92" s="52" t="s">
        <v>429</v>
      </c>
      <c r="C92" s="52" t="s">
        <v>1061</v>
      </c>
      <c r="D92" s="185"/>
      <c r="E92" s="185"/>
      <c r="F92" s="186"/>
      <c r="G92" s="186"/>
      <c r="H92" s="193">
        <f>'4_priedo_1'!H128</f>
        <v>2044376</v>
      </c>
      <c r="I92" s="195">
        <f>'4_priedo_1'!I128</f>
        <v>1737720</v>
      </c>
      <c r="J92" s="195">
        <f>'4_priedo_1'!K128</f>
        <v>306656</v>
      </c>
      <c r="K92" s="195">
        <f>'4_priedo_1'!P128</f>
        <v>0</v>
      </c>
      <c r="L92" s="195">
        <f>'4_priedo_1'!R128</f>
        <v>0</v>
      </c>
      <c r="M92" s="195">
        <f>'4_priedo_1'!S128</f>
        <v>0</v>
      </c>
      <c r="N92" s="48"/>
      <c r="O92" s="79"/>
      <c r="P92" s="79"/>
      <c r="Q92" s="79"/>
      <c r="R92" s="79"/>
      <c r="U92" s="79"/>
      <c r="V92" s="79"/>
    </row>
    <row r="93" spans="2:23" ht="63.75" customHeight="1" x14ac:dyDescent="0.25">
      <c r="B93" s="10"/>
      <c r="C93" s="196"/>
      <c r="D93" s="23" t="s">
        <v>726</v>
      </c>
      <c r="E93" s="23" t="s">
        <v>748</v>
      </c>
      <c r="F93" s="191">
        <f>'4_priedo_2'!I129</f>
        <v>9</v>
      </c>
      <c r="G93" s="191">
        <f>'4_priedo_2'!K129</f>
        <v>0</v>
      </c>
      <c r="H93" s="186"/>
      <c r="I93" s="198"/>
      <c r="J93" s="188"/>
      <c r="K93" s="188"/>
      <c r="L93" s="188"/>
      <c r="M93" s="188"/>
      <c r="N93" s="48"/>
      <c r="O93" s="79"/>
      <c r="P93" s="79"/>
      <c r="Q93" s="79"/>
      <c r="R93" s="79"/>
      <c r="U93" s="79"/>
      <c r="V93" s="79"/>
    </row>
    <row r="94" spans="2:23" ht="62.25" customHeight="1" x14ac:dyDescent="0.25">
      <c r="B94" s="200" t="s">
        <v>434</v>
      </c>
      <c r="C94" s="200" t="s">
        <v>435</v>
      </c>
      <c r="D94" s="185"/>
      <c r="E94" s="185"/>
      <c r="F94" s="186"/>
      <c r="G94" s="186"/>
      <c r="H94" s="186"/>
      <c r="I94" s="198"/>
      <c r="J94" s="188"/>
      <c r="K94" s="188"/>
      <c r="L94" s="188"/>
      <c r="M94" s="188"/>
      <c r="N94" s="48"/>
      <c r="O94" s="79"/>
      <c r="P94" s="79"/>
      <c r="Q94" s="79"/>
      <c r="R94" s="79"/>
      <c r="U94" s="79"/>
      <c r="V94" s="79"/>
    </row>
    <row r="95" spans="2:23" ht="58.5" customHeight="1" x14ac:dyDescent="0.25">
      <c r="B95" s="10"/>
      <c r="C95" s="196"/>
      <c r="D95" s="200"/>
      <c r="E95" s="200" t="s">
        <v>1236</v>
      </c>
      <c r="F95" s="191">
        <v>33</v>
      </c>
      <c r="G95" s="191">
        <v>7.99</v>
      </c>
      <c r="H95" s="186"/>
      <c r="I95" s="198"/>
      <c r="J95" s="188"/>
      <c r="K95" s="188"/>
      <c r="L95" s="188"/>
      <c r="M95" s="188"/>
      <c r="N95" s="48"/>
      <c r="O95" s="79"/>
      <c r="P95" s="79"/>
      <c r="Q95" s="289" t="s">
        <v>1237</v>
      </c>
      <c r="R95" s="87"/>
      <c r="S95" s="289" t="s">
        <v>1238</v>
      </c>
      <c r="T95" s="291"/>
      <c r="U95" s="79"/>
      <c r="V95" s="79"/>
    </row>
    <row r="96" spans="2:23" ht="69" customHeight="1" x14ac:dyDescent="0.25">
      <c r="B96" s="200" t="s">
        <v>436</v>
      </c>
      <c r="C96" s="200" t="s">
        <v>437</v>
      </c>
      <c r="D96" s="185"/>
      <c r="E96" s="185"/>
      <c r="F96" s="186"/>
      <c r="G96" s="186"/>
      <c r="H96" s="193"/>
      <c r="I96" s="197"/>
      <c r="J96" s="195"/>
      <c r="K96" s="195"/>
      <c r="L96" s="195"/>
      <c r="M96" s="195"/>
      <c r="N96" s="48"/>
      <c r="O96" s="79"/>
      <c r="P96" s="79"/>
      <c r="Q96" s="79"/>
      <c r="R96" s="79"/>
      <c r="S96" s="79"/>
      <c r="T96" s="79"/>
      <c r="U96" s="79"/>
      <c r="V96" s="79"/>
    </row>
    <row r="97" spans="2:22" ht="30.75" customHeight="1" x14ac:dyDescent="0.25">
      <c r="B97" s="10"/>
      <c r="C97" s="196"/>
      <c r="D97" s="200"/>
      <c r="E97" s="200"/>
      <c r="F97" s="191"/>
      <c r="G97" s="191"/>
      <c r="H97" s="186"/>
      <c r="I97" s="198"/>
      <c r="J97" s="188"/>
      <c r="K97" s="188"/>
      <c r="L97" s="188"/>
      <c r="M97" s="188"/>
      <c r="N97" s="48"/>
      <c r="O97" s="79"/>
      <c r="P97" s="79"/>
      <c r="Q97" s="79"/>
      <c r="R97" s="79"/>
      <c r="S97" s="79"/>
      <c r="T97" s="79"/>
      <c r="U97" s="79"/>
      <c r="V97" s="79"/>
    </row>
    <row r="98" spans="2:22" ht="109.5" customHeight="1" x14ac:dyDescent="0.25">
      <c r="B98" s="200" t="s">
        <v>438</v>
      </c>
      <c r="C98" s="200" t="s">
        <v>439</v>
      </c>
      <c r="D98" s="185"/>
      <c r="E98" s="185"/>
      <c r="F98" s="186"/>
      <c r="G98" s="186"/>
      <c r="H98" s="186"/>
      <c r="I98" s="198"/>
      <c r="J98" s="188"/>
      <c r="K98" s="188"/>
      <c r="L98" s="188"/>
      <c r="M98" s="188"/>
      <c r="N98" s="48"/>
      <c r="O98" s="79"/>
      <c r="P98" s="79"/>
      <c r="Q98" s="79"/>
      <c r="R98" s="79"/>
      <c r="S98" s="79"/>
      <c r="T98" s="79"/>
      <c r="U98" s="79"/>
      <c r="V98" s="79"/>
    </row>
    <row r="99" spans="2:22" ht="93" customHeight="1" x14ac:dyDescent="0.25">
      <c r="B99" s="10"/>
      <c r="C99" s="196"/>
      <c r="D99" s="200"/>
      <c r="E99" s="200" t="s">
        <v>1239</v>
      </c>
      <c r="F99" s="191">
        <v>1000</v>
      </c>
      <c r="G99" s="191">
        <v>1423</v>
      </c>
      <c r="H99" s="186"/>
      <c r="I99" s="198"/>
      <c r="J99" s="188"/>
      <c r="K99" s="188"/>
      <c r="L99" s="188"/>
      <c r="M99" s="188"/>
      <c r="N99" s="48"/>
      <c r="O99" s="79"/>
      <c r="P99" s="79"/>
      <c r="Q99" s="79"/>
      <c r="R99" s="79"/>
      <c r="S99" s="79"/>
      <c r="T99" s="79"/>
      <c r="U99" s="79"/>
      <c r="V99" s="79" t="s">
        <v>220</v>
      </c>
    </row>
    <row r="100" spans="2:22" ht="80.25" customHeight="1" x14ac:dyDescent="0.25">
      <c r="B100" s="200" t="s">
        <v>440</v>
      </c>
      <c r="C100" s="200" t="s">
        <v>441</v>
      </c>
      <c r="D100" s="185"/>
      <c r="E100" s="185"/>
      <c r="F100" s="186"/>
      <c r="G100" s="186"/>
      <c r="H100" s="193">
        <f>'4_priedo_1'!H133</f>
        <v>7000000</v>
      </c>
      <c r="I100" s="193">
        <f>'4_priedo_1'!I133</f>
        <v>0</v>
      </c>
      <c r="J100" s="193">
        <f>'4_priedo_1'!K133</f>
        <v>7000000</v>
      </c>
      <c r="K100" s="195">
        <f>'4_priedo_1'!P133</f>
        <v>1000000</v>
      </c>
      <c r="L100" s="195">
        <f>'4_priedo_1'!Q133</f>
        <v>0</v>
      </c>
      <c r="M100" s="195">
        <f>'4_priedo_1'!S133</f>
        <v>1000000</v>
      </c>
      <c r="N100" s="48"/>
      <c r="O100" s="79"/>
      <c r="P100" s="79"/>
      <c r="Q100" s="79"/>
      <c r="R100" s="79"/>
      <c r="S100" s="79"/>
      <c r="T100" s="79"/>
      <c r="U100" s="79"/>
      <c r="V100" s="79"/>
    </row>
    <row r="101" spans="2:22" ht="30.75" customHeight="1" x14ac:dyDescent="0.25">
      <c r="B101" s="10"/>
      <c r="C101" s="196"/>
      <c r="D101" s="26" t="s">
        <v>749</v>
      </c>
      <c r="E101" s="26" t="s">
        <v>750</v>
      </c>
      <c r="F101" s="33">
        <f>'4_priedo_2'!I134</f>
        <v>200</v>
      </c>
      <c r="G101" s="191">
        <f>'4_priedo_2'!K134</f>
        <v>180</v>
      </c>
      <c r="H101" s="186"/>
      <c r="I101" s="198"/>
      <c r="J101" s="188"/>
      <c r="K101" s="188"/>
      <c r="L101" s="188"/>
      <c r="M101" s="188"/>
      <c r="N101" s="48"/>
      <c r="O101" s="79"/>
      <c r="P101" s="79"/>
      <c r="Q101" s="79"/>
      <c r="R101" s="79"/>
      <c r="S101" s="79"/>
      <c r="T101" s="79"/>
      <c r="U101" s="79"/>
      <c r="V101" s="79"/>
    </row>
    <row r="102" spans="2:22" ht="53.25" customHeight="1" x14ac:dyDescent="0.25">
      <c r="B102" s="200" t="s">
        <v>448</v>
      </c>
      <c r="C102" s="200" t="s">
        <v>449</v>
      </c>
      <c r="D102" s="185"/>
      <c r="E102" s="185"/>
      <c r="F102" s="186"/>
      <c r="G102" s="186"/>
      <c r="H102" s="186"/>
      <c r="I102" s="198"/>
      <c r="J102" s="188"/>
      <c r="K102" s="188"/>
      <c r="L102" s="188"/>
      <c r="M102" s="188"/>
      <c r="N102" s="48"/>
      <c r="O102" s="79"/>
      <c r="P102" s="79"/>
      <c r="Q102" s="79"/>
      <c r="R102" s="79"/>
      <c r="S102" s="79"/>
      <c r="T102" s="79"/>
      <c r="U102" s="79"/>
      <c r="V102" s="79"/>
    </row>
    <row r="103" spans="2:22" ht="106.5" customHeight="1" x14ac:dyDescent="0.25">
      <c r="B103" s="200" t="s">
        <v>450</v>
      </c>
      <c r="C103" s="200" t="s">
        <v>451</v>
      </c>
      <c r="D103" s="185"/>
      <c r="E103" s="185"/>
      <c r="F103" s="186"/>
      <c r="G103" s="186"/>
      <c r="H103" s="186"/>
      <c r="I103" s="198"/>
      <c r="J103" s="188"/>
      <c r="K103" s="188"/>
      <c r="L103" s="188"/>
      <c r="M103" s="188"/>
      <c r="N103" s="48"/>
      <c r="O103" s="79"/>
      <c r="P103" s="79"/>
      <c r="Q103" s="79"/>
      <c r="R103" s="79"/>
      <c r="S103" s="79"/>
      <c r="T103" s="79"/>
      <c r="U103" s="79"/>
      <c r="V103" s="79"/>
    </row>
    <row r="104" spans="2:22" ht="93" customHeight="1" x14ac:dyDescent="0.25">
      <c r="B104" s="10"/>
      <c r="C104" s="196"/>
      <c r="D104" s="200"/>
      <c r="E104" s="26" t="s">
        <v>1062</v>
      </c>
      <c r="F104" s="191">
        <v>71</v>
      </c>
      <c r="G104" s="191">
        <v>77.599999999999994</v>
      </c>
      <c r="H104" s="186"/>
      <c r="I104" s="198"/>
      <c r="J104" s="188"/>
      <c r="K104" s="188"/>
      <c r="L104" s="188"/>
      <c r="M104" s="188"/>
      <c r="N104" s="48"/>
      <c r="O104" s="79"/>
      <c r="P104" s="79"/>
      <c r="Q104" s="79"/>
      <c r="R104" s="79"/>
      <c r="S104" s="79"/>
      <c r="T104" s="79"/>
      <c r="U104" s="79"/>
      <c r="V104" s="79"/>
    </row>
    <row r="105" spans="2:22" ht="143.25" customHeight="1" x14ac:dyDescent="0.25">
      <c r="B105" s="200" t="s">
        <v>452</v>
      </c>
      <c r="C105" s="200" t="s">
        <v>453</v>
      </c>
      <c r="D105" s="185"/>
      <c r="E105" s="185"/>
      <c r="F105" s="186"/>
      <c r="G105" s="186"/>
      <c r="H105" s="186"/>
      <c r="I105" s="198"/>
      <c r="J105" s="188"/>
      <c r="K105" s="188"/>
      <c r="L105" s="188"/>
      <c r="M105" s="188"/>
      <c r="N105" s="48"/>
      <c r="O105" s="79"/>
      <c r="P105" s="79"/>
      <c r="Q105" s="79"/>
      <c r="R105" s="79"/>
      <c r="S105" s="79"/>
      <c r="T105" s="79"/>
      <c r="U105" s="79"/>
      <c r="V105" s="79"/>
    </row>
    <row r="106" spans="2:22" ht="172.5" customHeight="1" x14ac:dyDescent="0.25">
      <c r="B106" s="10"/>
      <c r="C106" s="196"/>
      <c r="D106" s="200"/>
      <c r="E106" s="200" t="s">
        <v>1063</v>
      </c>
      <c r="F106" s="191">
        <v>54</v>
      </c>
      <c r="G106" s="191">
        <v>0</v>
      </c>
      <c r="H106" s="186"/>
      <c r="I106" s="198"/>
      <c r="J106" s="188"/>
      <c r="K106" s="188"/>
      <c r="L106" s="188"/>
      <c r="M106" s="188"/>
      <c r="N106" s="48"/>
      <c r="O106" s="79"/>
      <c r="P106" s="79"/>
      <c r="Q106" s="79"/>
      <c r="R106" s="79"/>
      <c r="S106" s="79"/>
      <c r="T106" s="79"/>
      <c r="U106" s="79"/>
      <c r="V106" s="79"/>
    </row>
    <row r="107" spans="2:22" ht="172.5" customHeight="1" x14ac:dyDescent="0.25">
      <c r="B107" s="10"/>
      <c r="C107" s="196"/>
      <c r="D107" s="200"/>
      <c r="E107" s="200" t="s">
        <v>1064</v>
      </c>
      <c r="F107" s="191">
        <v>54</v>
      </c>
      <c r="G107" s="191">
        <v>0</v>
      </c>
      <c r="H107" s="186"/>
      <c r="I107" s="198"/>
      <c r="J107" s="188"/>
      <c r="K107" s="188"/>
      <c r="L107" s="188"/>
      <c r="M107" s="188"/>
      <c r="N107" s="48"/>
      <c r="O107" s="79"/>
      <c r="P107" s="79"/>
      <c r="Q107" s="79"/>
      <c r="R107" s="79"/>
      <c r="S107" s="79"/>
      <c r="T107" s="79"/>
      <c r="U107" s="79"/>
      <c r="V107" s="79"/>
    </row>
    <row r="108" spans="2:22" ht="158.25" customHeight="1" x14ac:dyDescent="0.25">
      <c r="B108" s="33" t="s">
        <v>454</v>
      </c>
      <c r="C108" s="33" t="s">
        <v>455</v>
      </c>
      <c r="D108" s="185"/>
      <c r="E108" s="185"/>
      <c r="F108" s="186"/>
      <c r="G108" s="186"/>
      <c r="H108" s="193">
        <f>'4_priedo_1'!H138</f>
        <v>998775.3</v>
      </c>
      <c r="I108" s="195">
        <f>'4_priedo_1'!I138+'4_priedo_1'!J138</f>
        <v>919668.35</v>
      </c>
      <c r="J108" s="195">
        <f>'4_priedo_1'!K138</f>
        <v>79106.950000000026</v>
      </c>
      <c r="K108" s="195">
        <f>'4_priedo_1'!P138</f>
        <v>444590.87</v>
      </c>
      <c r="L108" s="195">
        <f>'4_priedo_1'!Q138+'4_priedo_1'!R138</f>
        <v>419516.82</v>
      </c>
      <c r="M108" s="195">
        <f>'4_priedo_1'!S138</f>
        <v>25074.049999999967</v>
      </c>
      <c r="N108" s="48"/>
      <c r="O108" s="79"/>
      <c r="P108" s="79"/>
      <c r="Q108" s="79"/>
      <c r="R108" s="79"/>
      <c r="S108" s="79"/>
      <c r="T108" s="79"/>
      <c r="U108" s="79"/>
      <c r="V108" s="79"/>
    </row>
    <row r="109" spans="2:22" ht="150" customHeight="1" x14ac:dyDescent="0.25">
      <c r="B109" s="10"/>
      <c r="C109" s="196"/>
      <c r="D109" s="200">
        <f>'2 lentelė'!E139</f>
        <v>0</v>
      </c>
      <c r="E109" s="200">
        <f>'2 lentelė'!F139</f>
        <v>0</v>
      </c>
      <c r="F109" s="191">
        <f>'4_priedo_2'!I140+'4_priedo_2'!I141</f>
        <v>2</v>
      </c>
      <c r="G109" s="191">
        <f>'4_priedo_2'!K140+'4_priedo_2'!K141</f>
        <v>0</v>
      </c>
      <c r="H109" s="186"/>
      <c r="I109" s="198"/>
      <c r="J109" s="188"/>
      <c r="K109" s="188"/>
      <c r="L109" s="188"/>
      <c r="M109" s="188"/>
      <c r="N109" s="48"/>
      <c r="O109" s="79"/>
      <c r="P109" s="79"/>
      <c r="Q109" s="79"/>
      <c r="R109" s="79"/>
      <c r="S109" s="79"/>
      <c r="T109" s="79"/>
      <c r="U109" s="79"/>
      <c r="V109" s="79"/>
    </row>
    <row r="110" spans="2:22" ht="136.5" customHeight="1" x14ac:dyDescent="0.25">
      <c r="B110" s="10"/>
      <c r="C110" s="196"/>
      <c r="D110" s="200">
        <f>'2 lentelė'!H139</f>
        <v>0</v>
      </c>
      <c r="E110" s="200">
        <f>'2 lentelė'!I139</f>
        <v>0</v>
      </c>
      <c r="F110" s="191">
        <f>'4_priedo_2'!N140+'4_priedo_2'!N141</f>
        <v>7</v>
      </c>
      <c r="G110" s="191">
        <f>'4_priedo_2'!P140+'4_priedo_2'!P141</f>
        <v>0</v>
      </c>
      <c r="H110" s="186"/>
      <c r="I110" s="198"/>
      <c r="J110" s="188"/>
      <c r="K110" s="188"/>
      <c r="L110" s="188"/>
      <c r="M110" s="188"/>
      <c r="N110" s="48"/>
      <c r="O110" s="79"/>
      <c r="P110" s="79"/>
      <c r="Q110" s="79"/>
      <c r="R110" s="79"/>
      <c r="S110" s="79"/>
      <c r="T110" s="79"/>
      <c r="U110" s="79"/>
      <c r="V110" s="79"/>
    </row>
    <row r="111" spans="2:22" ht="136.5" customHeight="1" x14ac:dyDescent="0.25">
      <c r="B111" s="10"/>
      <c r="C111" s="196"/>
      <c r="D111" s="200">
        <f>'2 lentelė'!K139</f>
        <v>0</v>
      </c>
      <c r="E111" s="200">
        <f>'2 lentelė'!L139</f>
        <v>0</v>
      </c>
      <c r="F111" s="191">
        <f>'4_priedo_2'!S140+'4_priedo_2'!S141</f>
        <v>400</v>
      </c>
      <c r="G111" s="191">
        <f>'4_priedo_2'!U140+'4_priedo_2'!U141</f>
        <v>0</v>
      </c>
      <c r="H111" s="186"/>
      <c r="I111" s="198"/>
      <c r="J111" s="188"/>
      <c r="K111" s="188"/>
      <c r="L111" s="188"/>
      <c r="M111" s="188"/>
      <c r="N111" s="48"/>
      <c r="O111" s="79"/>
      <c r="P111" s="79"/>
      <c r="Q111" s="79"/>
      <c r="R111" s="79"/>
      <c r="S111" s="79"/>
      <c r="T111" s="79"/>
      <c r="U111" s="79"/>
      <c r="V111" s="79"/>
    </row>
    <row r="112" spans="2:22" ht="139.5" customHeight="1" x14ac:dyDescent="0.25">
      <c r="B112" s="10"/>
      <c r="C112" s="196"/>
      <c r="D112" s="200">
        <f>'2 lentelė'!N139</f>
        <v>0</v>
      </c>
      <c r="E112" s="200">
        <f>'2 lentelė'!O139</f>
        <v>0</v>
      </c>
      <c r="F112" s="191">
        <f>'4_priedo_2'!X140+'4_priedo_2'!X141</f>
        <v>120</v>
      </c>
      <c r="G112" s="191">
        <f>'4_priedo_2'!Z140+'4_priedo_2'!Z141</f>
        <v>0</v>
      </c>
      <c r="H112" s="186"/>
      <c r="I112" s="198"/>
      <c r="J112" s="188"/>
      <c r="K112" s="188"/>
      <c r="L112" s="188"/>
      <c r="M112" s="188"/>
      <c r="N112" s="48"/>
      <c r="O112" s="79"/>
      <c r="P112" s="79"/>
      <c r="Q112" s="79"/>
      <c r="R112" s="79"/>
      <c r="S112" s="79"/>
      <c r="T112" s="79"/>
      <c r="U112" s="79"/>
      <c r="V112" s="79"/>
    </row>
    <row r="113" spans="2:24" ht="68.25" customHeight="1" x14ac:dyDescent="0.25">
      <c r="B113" s="29" t="str">
        <f>'1 lentelė'!B144</f>
        <v>3.1.1.2</v>
      </c>
      <c r="C113" s="26" t="str">
        <f>'1 lentelė'!D144</f>
        <v>Priemonė:  Mokyklų tinklo efektyvumo didinimas</v>
      </c>
      <c r="D113" s="185"/>
      <c r="E113" s="185"/>
      <c r="F113" s="186"/>
      <c r="G113" s="186"/>
      <c r="H113" s="193">
        <f>'4_priedo_1'!H142</f>
        <v>1226029.76</v>
      </c>
      <c r="I113" s="195">
        <f>'4_priedo_1'!I142+'4_priedo_1'!J142</f>
        <v>903809.65</v>
      </c>
      <c r="J113" s="195">
        <f>'4_priedo_1'!K142</f>
        <v>322220.11000000004</v>
      </c>
      <c r="K113" s="195">
        <f>'4_priedo_1'!P142</f>
        <v>701388.01</v>
      </c>
      <c r="L113" s="195">
        <f>'4_priedo_1'!Q142+'4_priedo_1'!R142</f>
        <v>607537.22</v>
      </c>
      <c r="M113" s="195">
        <f>'4_priedo_1'!S142</f>
        <v>93850.790000000008</v>
      </c>
      <c r="N113" s="48"/>
      <c r="O113" s="79"/>
      <c r="P113" s="79"/>
      <c r="Q113" s="79"/>
      <c r="R113" s="79"/>
      <c r="S113" s="79"/>
      <c r="T113" s="79"/>
      <c r="U113" s="79"/>
      <c r="V113" s="79"/>
    </row>
    <row r="114" spans="2:24" ht="111.75" customHeight="1" x14ac:dyDescent="0.25">
      <c r="B114" s="10"/>
      <c r="C114" s="196"/>
      <c r="D114" s="200" t="str">
        <f>'2 lentelė'!E141</f>
        <v>P.N.717</v>
      </c>
      <c r="E114" s="200" t="str">
        <f>'2 lentelė'!F141</f>
        <v>Pagal veiksmų programą ERPF lėšomis atnaujintos ikimokyklinio ir priešmokyklinio ugdymo mokyklos, vnt.</v>
      </c>
      <c r="F114" s="191">
        <f>'4_priedo_2'!I143+'4_priedo_2'!I144+'4_priedo_2'!I145</f>
        <v>3</v>
      </c>
      <c r="G114" s="191">
        <f>'4_priedo_2'!K143+'4_priedo_2'!K144+'4_priedo_2'!K145</f>
        <v>0</v>
      </c>
      <c r="H114" s="186"/>
      <c r="I114" s="198"/>
      <c r="J114" s="188"/>
      <c r="K114" s="188"/>
      <c r="L114" s="188"/>
      <c r="M114" s="188"/>
      <c r="N114" s="48"/>
      <c r="O114" s="79"/>
      <c r="P114" s="79"/>
      <c r="Q114" s="79"/>
      <c r="R114" s="79"/>
      <c r="S114" s="79"/>
      <c r="T114" s="79"/>
      <c r="U114" s="79"/>
      <c r="V114" s="79"/>
    </row>
    <row r="115" spans="2:24" ht="105" customHeight="1" x14ac:dyDescent="0.25">
      <c r="B115" s="10"/>
      <c r="C115" s="196"/>
      <c r="D115" s="200" t="str">
        <f>'2 lentelė'!H141</f>
        <v>P.N.743</v>
      </c>
      <c r="E115" s="200" t="str">
        <f>'2 lentelė'!I141</f>
        <v xml:space="preserve">Pagal veiksmų programą ERPF lėšomis atnaujintos ikimokyklinio ir/ar priešmokyklinio ugdymo grupės </v>
      </c>
      <c r="F115" s="191">
        <f>'4_priedo_2'!N143+'4_priedo_2'!N144+'4_priedo_2'!N145</f>
        <v>1417</v>
      </c>
      <c r="G115" s="191">
        <f>'4_priedo_2'!P143+'4_priedo_2'!P144+'4_priedo_2'!P145</f>
        <v>0</v>
      </c>
      <c r="H115" s="186"/>
      <c r="I115" s="198"/>
      <c r="J115" s="188"/>
      <c r="K115" s="188"/>
      <c r="L115" s="188"/>
      <c r="M115" s="188"/>
      <c r="N115" s="48"/>
      <c r="O115" s="79"/>
      <c r="P115" s="79"/>
      <c r="Q115" s="79"/>
      <c r="R115" s="79"/>
      <c r="S115" s="79"/>
      <c r="T115" s="79"/>
      <c r="U115" s="79"/>
      <c r="V115" s="79"/>
    </row>
    <row r="116" spans="2:24" ht="72" customHeight="1" x14ac:dyDescent="0.25">
      <c r="B116" s="12" t="str">
        <f>'1 lentelė'!B148</f>
        <v>3.1.2</v>
      </c>
      <c r="C116" s="26" t="str">
        <f>'1 lentelė'!D148</f>
        <v>Uždavinys: Plėtoti neformalaus ugdymosi galimybes</v>
      </c>
      <c r="D116" s="186"/>
      <c r="E116" s="186"/>
      <c r="F116" s="186"/>
      <c r="G116" s="186"/>
      <c r="H116" s="186"/>
      <c r="I116" s="198"/>
      <c r="J116" s="188"/>
      <c r="K116" s="188"/>
      <c r="L116" s="188"/>
      <c r="M116" s="188"/>
      <c r="N116" s="48"/>
      <c r="O116" s="79"/>
      <c r="P116" s="79"/>
      <c r="Q116" s="79"/>
      <c r="R116" s="79"/>
      <c r="S116" s="79"/>
      <c r="T116" s="79"/>
      <c r="U116" s="79"/>
      <c r="V116" s="79"/>
    </row>
    <row r="117" spans="2:24" ht="82.5" customHeight="1" x14ac:dyDescent="0.25">
      <c r="B117" s="198"/>
      <c r="C117" s="198"/>
      <c r="D117" s="12"/>
      <c r="E117" s="12" t="s">
        <v>1066</v>
      </c>
      <c r="F117" s="293">
        <v>38</v>
      </c>
      <c r="G117" s="191">
        <v>0</v>
      </c>
      <c r="H117" s="186"/>
      <c r="I117" s="198"/>
      <c r="J117" s="188"/>
      <c r="K117" s="188"/>
      <c r="L117" s="188"/>
      <c r="M117" s="188"/>
      <c r="N117" s="48"/>
      <c r="O117" s="79"/>
      <c r="P117" s="79"/>
      <c r="Q117" s="79"/>
      <c r="R117" s="79"/>
      <c r="S117" s="79"/>
      <c r="T117" s="79"/>
      <c r="U117" s="79"/>
      <c r="V117" s="79"/>
    </row>
    <row r="118" spans="2:24" ht="79.5" customHeight="1" x14ac:dyDescent="0.25">
      <c r="B118" s="29" t="str">
        <f>'1 lentelė'!B149</f>
        <v>3.1.2.1</v>
      </c>
      <c r="C118" s="26" t="str">
        <f>'1 lentelė'!D149</f>
        <v>Priemonė: Neformaliojo švietimo infrastruktūros tobulinimas</v>
      </c>
      <c r="D118" s="185"/>
      <c r="E118" s="185"/>
      <c r="F118" s="186"/>
      <c r="G118" s="186"/>
      <c r="H118" s="193">
        <f>'4_priedo_1'!H147</f>
        <v>1666630.9</v>
      </c>
      <c r="I118" s="195">
        <f>'4_priedo_1'!I147+'4_priedo_1'!J147</f>
        <v>1404711</v>
      </c>
      <c r="J118" s="195">
        <f>'4_priedo_1'!K147</f>
        <v>261919.89999999991</v>
      </c>
      <c r="K118" s="195">
        <f>'4_priedo_1'!P147</f>
        <v>947072.24</v>
      </c>
      <c r="L118" s="195">
        <f>'4_priedo_1'!Q147+'4_priedo_1'!R147</f>
        <v>838081.15</v>
      </c>
      <c r="M118" s="195">
        <f>'4_priedo_1'!S147</f>
        <v>108991.08999999994</v>
      </c>
      <c r="N118" s="48"/>
      <c r="O118" s="79"/>
      <c r="P118" s="79"/>
      <c r="Q118" s="79"/>
      <c r="R118" s="79"/>
      <c r="S118" s="79"/>
      <c r="T118" s="79"/>
      <c r="U118" s="79"/>
      <c r="V118" s="79"/>
    </row>
    <row r="119" spans="2:24" ht="105" customHeight="1" x14ac:dyDescent="0.25">
      <c r="B119" s="10"/>
      <c r="C119" s="196"/>
      <c r="D119" s="200">
        <f>'2 lentelė'!E146</f>
        <v>0</v>
      </c>
      <c r="E119" s="200">
        <f>'2 lentelė'!F146</f>
        <v>0</v>
      </c>
      <c r="F119" s="191">
        <f>'4_priedo_2'!I148+'4_priedo_2'!I149</f>
        <v>2</v>
      </c>
      <c r="G119" s="191">
        <f>'4_priedo_2'!K148+'4_priedo_2'!K149</f>
        <v>0</v>
      </c>
      <c r="H119" s="186"/>
      <c r="I119" s="198"/>
      <c r="J119" s="188"/>
      <c r="K119" s="188"/>
      <c r="L119" s="188"/>
      <c r="M119" s="188"/>
      <c r="N119" s="48"/>
      <c r="O119" s="79"/>
      <c r="P119" s="79"/>
      <c r="Q119" s="79"/>
      <c r="R119" s="79"/>
      <c r="S119" s="79"/>
      <c r="T119" s="79"/>
      <c r="U119" s="79"/>
      <c r="V119" s="79"/>
    </row>
    <row r="120" spans="2:24" ht="103.5" customHeight="1" x14ac:dyDescent="0.25">
      <c r="B120" s="10"/>
      <c r="C120" s="196"/>
      <c r="D120" s="200">
        <f>'2 lentelė'!H146</f>
        <v>0</v>
      </c>
      <c r="E120" s="200">
        <f>'2 lentelė'!I146</f>
        <v>0</v>
      </c>
      <c r="F120" s="191">
        <f>'4_priedo_2'!N148+'4_priedo_2'!N149</f>
        <v>685</v>
      </c>
      <c r="G120" s="191">
        <f>'4_priedo_2'!P148+'4_priedo_2'!P149</f>
        <v>0</v>
      </c>
      <c r="H120" s="186"/>
      <c r="I120" s="198"/>
      <c r="J120" s="188"/>
      <c r="K120" s="188"/>
      <c r="L120" s="188"/>
      <c r="M120" s="188"/>
      <c r="N120" s="48"/>
      <c r="O120" s="79"/>
      <c r="P120" s="79"/>
      <c r="Q120" s="79"/>
      <c r="R120" s="79"/>
      <c r="S120" s="79"/>
      <c r="T120" s="79"/>
      <c r="U120" s="79"/>
      <c r="V120" s="79"/>
    </row>
    <row r="121" spans="2:24" ht="88.5" customHeight="1" x14ac:dyDescent="0.25">
      <c r="B121" s="33" t="str">
        <f>'1 lentelė'!B152</f>
        <v xml:space="preserve">3.2 </v>
      </c>
      <c r="C121" s="33" t="str">
        <f>'1 lentelė'!D152</f>
        <v>Tikslas: Viešųjų paslaugų prieinamumo didinimas</v>
      </c>
      <c r="D121" s="198"/>
      <c r="E121" s="198"/>
      <c r="F121" s="198"/>
      <c r="G121" s="198"/>
      <c r="H121" s="186"/>
      <c r="I121" s="198"/>
      <c r="J121" s="188"/>
      <c r="K121" s="188"/>
      <c r="L121" s="188"/>
      <c r="M121" s="188"/>
      <c r="N121" s="48"/>
      <c r="O121" s="79"/>
      <c r="P121" s="79"/>
      <c r="Q121" s="79"/>
      <c r="R121" s="79"/>
      <c r="S121" s="79"/>
      <c r="T121" s="79"/>
      <c r="U121" s="79"/>
      <c r="V121" s="79"/>
    </row>
    <row r="122" spans="2:24" ht="148.5" customHeight="1" x14ac:dyDescent="0.25">
      <c r="B122" s="10"/>
      <c r="C122" s="196"/>
      <c r="D122" s="200"/>
      <c r="E122" s="200" t="s">
        <v>1240</v>
      </c>
      <c r="F122" s="191">
        <v>100</v>
      </c>
      <c r="G122" s="191">
        <v>84</v>
      </c>
      <c r="H122" s="186"/>
      <c r="I122" s="198"/>
      <c r="J122" s="188"/>
      <c r="K122" s="188"/>
      <c r="L122" s="188"/>
      <c r="M122" s="188"/>
      <c r="N122" s="48"/>
      <c r="O122" s="79"/>
      <c r="P122" s="291"/>
      <c r="Q122" s="87">
        <v>54.92</v>
      </c>
      <c r="R122" s="87">
        <v>46.17</v>
      </c>
      <c r="S122" s="87">
        <f>R122/Q122*100</f>
        <v>84.067734887108529</v>
      </c>
      <c r="T122" s="291"/>
      <c r="U122" s="291"/>
      <c r="V122" s="79"/>
    </row>
    <row r="123" spans="2:24" ht="103.5" customHeight="1" x14ac:dyDescent="0.25">
      <c r="B123" s="33" t="str">
        <f>'1 lentelė'!B153</f>
        <v>3.2.1</v>
      </c>
      <c r="C123" s="33" t="str">
        <f>'1 lentelė'!D153</f>
        <v>Uždavinys: Užtikrinti kokybišką ir prieinamą sveikatos priežiūrą</v>
      </c>
      <c r="D123" s="186"/>
      <c r="E123" s="186"/>
      <c r="F123" s="186"/>
      <c r="G123" s="186"/>
      <c r="H123" s="186"/>
      <c r="I123" s="198"/>
      <c r="J123" s="188"/>
      <c r="K123" s="188"/>
      <c r="L123" s="188"/>
      <c r="M123" s="188"/>
      <c r="N123" s="48"/>
      <c r="O123" s="79"/>
      <c r="P123" s="79"/>
      <c r="Q123" s="79"/>
      <c r="R123" s="79"/>
      <c r="S123" s="79"/>
      <c r="T123" s="79"/>
      <c r="U123" s="79"/>
      <c r="V123" s="79"/>
    </row>
    <row r="124" spans="2:24" ht="103.5" customHeight="1" x14ac:dyDescent="0.25">
      <c r="B124" s="10"/>
      <c r="C124" s="196"/>
      <c r="D124" s="200"/>
      <c r="E124" s="200" t="s">
        <v>1241</v>
      </c>
      <c r="F124" s="191" t="s">
        <v>1250</v>
      </c>
      <c r="G124" s="191" t="s">
        <v>1249</v>
      </c>
      <c r="H124" s="186"/>
      <c r="I124" s="198"/>
      <c r="J124" s="188"/>
      <c r="K124" s="188"/>
      <c r="L124" s="188"/>
      <c r="M124" s="188"/>
      <c r="N124" s="48"/>
      <c r="O124" s="79"/>
      <c r="P124" s="291"/>
      <c r="Q124" s="87" t="s">
        <v>1247</v>
      </c>
      <c r="R124" s="289" t="s">
        <v>1248</v>
      </c>
      <c r="S124" s="87">
        <f>1110.4/1040.6*100</f>
        <v>106.70766865270038</v>
      </c>
      <c r="T124" s="291"/>
      <c r="U124" s="291"/>
      <c r="V124" s="291"/>
      <c r="W124" s="6"/>
      <c r="X124" s="6"/>
    </row>
    <row r="125" spans="2:24" ht="92.25" customHeight="1" x14ac:dyDescent="0.25">
      <c r="B125" s="29" t="str">
        <f>'1 lentelė'!B154</f>
        <v>3.2.1.1</v>
      </c>
      <c r="C125" s="26" t="str">
        <f>'1 lentelė'!D154</f>
        <v>Priemonė: Pirminės asmens ir visuomenės sveikatos priežiūros veiklos efektyvumo didinimas</v>
      </c>
      <c r="D125" s="185"/>
      <c r="E125" s="185"/>
      <c r="F125" s="186"/>
      <c r="G125" s="186"/>
      <c r="H125" s="193">
        <f>'4_priedo_1'!H152</f>
        <v>1281665.81</v>
      </c>
      <c r="I125" s="210">
        <f>'4_priedo_1'!I152+'4_priedo_1'!J152</f>
        <v>1181520.1099999999</v>
      </c>
      <c r="J125" s="210">
        <f>'4_priedo_1'!K152</f>
        <v>100145.70000000003</v>
      </c>
      <c r="K125" s="195">
        <f>'4_priedo_1'!P152</f>
        <v>887296.52999999991</v>
      </c>
      <c r="L125" s="195">
        <f>'4_priedo_1'!Q152+'4_priedo_1'!R152</f>
        <v>818228.55999999994</v>
      </c>
      <c r="M125" s="195">
        <f>'4_priedo_1'!S152</f>
        <v>69067.97000000003</v>
      </c>
      <c r="N125" s="48"/>
      <c r="O125" s="79"/>
      <c r="P125" s="79"/>
      <c r="Q125" s="79"/>
      <c r="R125" s="79"/>
      <c r="S125" s="79"/>
      <c r="T125" s="79"/>
      <c r="U125" s="79"/>
      <c r="V125" s="79"/>
    </row>
    <row r="126" spans="2:24" ht="116.25" customHeight="1" x14ac:dyDescent="0.25">
      <c r="B126" s="10"/>
      <c r="C126" s="196"/>
      <c r="D126" s="200">
        <f>'2 lentelė'!E151</f>
        <v>0</v>
      </c>
      <c r="E126" s="200">
        <f>'2 lentelė'!F151</f>
        <v>0</v>
      </c>
      <c r="F126" s="191">
        <f>SUM('4_priedo_2'!I153:'4_priedo_2'!I161)</f>
        <v>99176</v>
      </c>
      <c r="G126" s="315">
        <f>'4_priedo_2'!K155+'4_priedo_2'!K158</f>
        <v>8008</v>
      </c>
      <c r="H126" s="186"/>
      <c r="I126" s="198"/>
      <c r="J126" s="188"/>
      <c r="K126" s="188"/>
      <c r="L126" s="188"/>
      <c r="M126" s="188"/>
      <c r="N126" s="48"/>
      <c r="O126" s="79"/>
      <c r="P126" s="291"/>
      <c r="Q126" s="87">
        <f>7978/99689*100</f>
        <v>8.0028889847425493</v>
      </c>
      <c r="R126" s="291"/>
      <c r="S126" s="79"/>
      <c r="T126" s="79"/>
      <c r="U126" s="79"/>
      <c r="V126" s="79"/>
    </row>
    <row r="127" spans="2:24" ht="198" customHeight="1" x14ac:dyDescent="0.25">
      <c r="B127" s="10"/>
      <c r="C127" s="196"/>
      <c r="D127" s="200">
        <f>'2 lentelė'!H151</f>
        <v>0</v>
      </c>
      <c r="E127" s="200">
        <f>'2 lentelė'!I151</f>
        <v>0</v>
      </c>
      <c r="F127" s="191">
        <f>SUM('4_priedo_2'!N153:'4_priedo_2'!N161)</f>
        <v>9</v>
      </c>
      <c r="G127" s="191">
        <f>SUM('4_priedo_2'!P153:'4_priedo_2'!P161)</f>
        <v>3</v>
      </c>
      <c r="H127" s="186"/>
      <c r="I127" s="198"/>
      <c r="J127" s="188"/>
      <c r="K127" s="188"/>
      <c r="L127" s="188"/>
      <c r="M127" s="188"/>
      <c r="N127" s="48"/>
      <c r="O127" s="79"/>
      <c r="P127" s="79"/>
      <c r="Q127" s="79"/>
      <c r="R127" s="79"/>
      <c r="S127" s="79"/>
      <c r="T127" s="79"/>
      <c r="U127" s="79"/>
      <c r="V127" s="79"/>
    </row>
    <row r="128" spans="2:24" ht="155.25" customHeight="1" x14ac:dyDescent="0.25">
      <c r="B128" s="29" t="str">
        <f>'1 lentelė'!B164</f>
        <v>3.2.1.2</v>
      </c>
      <c r="C128" s="26" t="str">
        <f>'1 lentelė'!D164</f>
        <v>Priemonė: Priemonių, gerinančių ambulatorinių sveikatos priežiūros paslaugų prieinamumą tuberkulioze sergantiems asmenims, įgyvendinimas</v>
      </c>
      <c r="D128" s="185"/>
      <c r="E128" s="185"/>
      <c r="F128" s="186"/>
      <c r="G128" s="186"/>
      <c r="H128" s="193">
        <f>'4_priedo_1'!H162</f>
        <v>41354.43</v>
      </c>
      <c r="I128" s="210">
        <f>'4_priedo_1'!I162+'4_priedo_1'!J162</f>
        <v>38251.330000000009</v>
      </c>
      <c r="J128" s="195">
        <f>'4_priedo_1'!K162</f>
        <v>3103.1</v>
      </c>
      <c r="K128" s="195">
        <f>'4_priedo_1'!P162</f>
        <v>9765.58</v>
      </c>
      <c r="L128" s="195">
        <f>'4_priedo_1'!Q162+'4_priedo_1'!R162</f>
        <v>9307.2000000000007</v>
      </c>
      <c r="M128" s="195">
        <f>'4_priedo_1'!S162</f>
        <v>458.38000000000022</v>
      </c>
      <c r="N128" s="48"/>
      <c r="O128" s="79"/>
      <c r="P128" s="79"/>
      <c r="Q128" s="79"/>
      <c r="R128" s="79"/>
      <c r="S128" s="79"/>
      <c r="T128" s="79"/>
      <c r="U128" s="79"/>
      <c r="V128" s="79"/>
    </row>
    <row r="129" spans="2:34" ht="258.75" customHeight="1" x14ac:dyDescent="0.25">
      <c r="B129" s="10"/>
      <c r="C129" s="196"/>
      <c r="D129" s="200" t="str">
        <f>'2 lentelė'!E161</f>
        <v>P.B.236</v>
      </c>
      <c r="E129" s="200" t="str">
        <f>'2 lentelė'!F161</f>
        <v>Gyventojai, turintys galimybę pasinaudoti pagerintomis sveikatos priežiūros paslaugomis</v>
      </c>
      <c r="F129" s="191">
        <f>SUM('4_priedo_2'!I163:'4_priedo_2'!I168)</f>
        <v>101</v>
      </c>
      <c r="G129" s="191">
        <f>SUM('4_priedo_2'!K163:'4_priedo_2'!K168)</f>
        <v>37</v>
      </c>
      <c r="H129" s="186"/>
      <c r="I129" s="288"/>
      <c r="J129" s="188"/>
      <c r="K129" s="188"/>
      <c r="L129" s="188"/>
      <c r="M129" s="188"/>
      <c r="N129" s="48"/>
      <c r="O129" s="79"/>
      <c r="P129" s="79"/>
      <c r="Q129" s="79"/>
      <c r="R129" s="79"/>
      <c r="S129" s="79"/>
      <c r="T129" s="79"/>
      <c r="U129" s="79"/>
      <c r="V129" s="79"/>
    </row>
    <row r="130" spans="2:34" ht="96" customHeight="1" x14ac:dyDescent="0.25">
      <c r="B130" s="33" t="str">
        <f>'1 lentelė'!B171</f>
        <v>3.2.2</v>
      </c>
      <c r="C130" s="33" t="str">
        <f>'1 lentelė'!D171</f>
        <v>Uždavinys: Skatinti sveiką gyvenseną ir visuomenės sveikatos raštingumą</v>
      </c>
      <c r="D130" s="198"/>
      <c r="E130" s="198"/>
      <c r="F130" s="198"/>
      <c r="G130" s="198"/>
      <c r="H130" s="186"/>
      <c r="I130" s="198"/>
      <c r="J130" s="188"/>
      <c r="K130" s="188"/>
      <c r="L130" s="188"/>
      <c r="M130" s="188"/>
      <c r="N130" s="48"/>
      <c r="O130" s="79"/>
      <c r="P130" s="79"/>
      <c r="Q130" s="79"/>
      <c r="R130" s="79"/>
      <c r="S130" s="79"/>
      <c r="T130" s="79"/>
      <c r="U130" s="79"/>
      <c r="V130" s="79"/>
    </row>
    <row r="131" spans="2:34" ht="96" customHeight="1" x14ac:dyDescent="0.25">
      <c r="B131" s="186"/>
      <c r="C131" s="186"/>
      <c r="D131" s="200"/>
      <c r="E131" s="200" t="s">
        <v>1242</v>
      </c>
      <c r="F131" s="33" t="s">
        <v>1250</v>
      </c>
      <c r="G131" s="200" t="s">
        <v>1253</v>
      </c>
      <c r="H131" s="186"/>
      <c r="I131" s="198"/>
      <c r="J131" s="188"/>
      <c r="K131" s="188"/>
      <c r="L131" s="188"/>
      <c r="M131" s="188"/>
      <c r="N131" s="48"/>
      <c r="O131" s="79"/>
      <c r="P131" s="291"/>
      <c r="Q131" s="87" t="s">
        <v>1251</v>
      </c>
      <c r="R131" s="289" t="s">
        <v>1252</v>
      </c>
      <c r="S131" s="87">
        <f>339.7/310.5*100</f>
        <v>109.40418679549113</v>
      </c>
      <c r="T131" s="291"/>
      <c r="U131" s="291"/>
      <c r="V131" s="79"/>
    </row>
    <row r="132" spans="2:34" ht="105.75" customHeight="1" x14ac:dyDescent="0.25">
      <c r="B132" s="29" t="str">
        <f>'4_priedo_1'!B170</f>
        <v>3.2.2.1</v>
      </c>
      <c r="C132" s="23" t="str">
        <f>'4_priedo_1'!D170</f>
        <v xml:space="preserve">Priemonė: Sveikos gyvensenos skatinimas regioniniu lygiu </v>
      </c>
      <c r="D132" s="185"/>
      <c r="E132" s="185"/>
      <c r="F132" s="186"/>
      <c r="G132" s="186"/>
      <c r="H132" s="33">
        <f>'4_priedo_1'!H170</f>
        <v>988798.29000000015</v>
      </c>
      <c r="I132" s="33">
        <f>'4_priedo_1'!I170+'4_priedo_1'!J170</f>
        <v>914621.85000000009</v>
      </c>
      <c r="J132" s="33">
        <f>'4_priedo_1'!K170</f>
        <v>74176.440000000031</v>
      </c>
      <c r="K132" s="33">
        <f>'4_priedo_1'!P170</f>
        <v>575492.57999999996</v>
      </c>
      <c r="L132" s="33">
        <f>'4_priedo_1'!Q170+'4_priedo_1'!R170</f>
        <v>536591.44999999995</v>
      </c>
      <c r="M132" s="33">
        <f>'4_priedo_1'!S170</f>
        <v>38901.129999999997</v>
      </c>
      <c r="N132" s="48"/>
      <c r="O132" s="79"/>
      <c r="P132" s="79"/>
      <c r="Q132" s="79"/>
      <c r="R132" s="79"/>
      <c r="S132" s="79"/>
      <c r="T132" s="79"/>
      <c r="U132" s="79"/>
      <c r="V132" s="79"/>
    </row>
    <row r="133" spans="2:34" ht="195" customHeight="1" x14ac:dyDescent="0.25">
      <c r="B133" s="10"/>
      <c r="C133" s="196"/>
      <c r="D133" s="200" t="str">
        <f>'4_priedo_2'!G171</f>
        <v>P.S.372</v>
      </c>
      <c r="E133" s="200" t="str">
        <f>'4_priedo_2'!H171</f>
        <v>Tikslinių grupių asmenys, kurie dalyvavo informavimo, švietimo ir mokymo renginiuose bei sveikatos raštingumą didiniančiose veiklose, skaičius (2018 m.-515)</v>
      </c>
      <c r="F133" s="191">
        <f>SUM('4_priedo_2'!I171:'4_priedo_2'!I177)</f>
        <v>9630</v>
      </c>
      <c r="G133" s="191">
        <f>SUM('4_priedo_2'!K171:'4_priedo_2'!K177)</f>
        <v>6915</v>
      </c>
      <c r="H133" s="186"/>
      <c r="I133" s="188"/>
      <c r="J133" s="188"/>
      <c r="K133" s="188"/>
      <c r="L133" s="188"/>
      <c r="M133" s="188"/>
      <c r="N133" s="48"/>
      <c r="O133" s="79"/>
      <c r="P133" s="79"/>
      <c r="Q133" s="79"/>
      <c r="R133" s="79"/>
      <c r="S133" s="79"/>
      <c r="T133" s="79"/>
      <c r="U133" s="79"/>
      <c r="V133" s="79"/>
    </row>
    <row r="134" spans="2:34" ht="73.5" customHeight="1" x14ac:dyDescent="0.25">
      <c r="B134" s="10"/>
      <c r="C134" s="196"/>
      <c r="D134" s="200" t="str">
        <f>'4_priedo_2'!L171</f>
        <v>P.N.671</v>
      </c>
      <c r="E134" s="200" t="str">
        <f>'4_priedo_2'!M171</f>
        <v>„Modernizuoti savivaldybių visuomenės sveikatos biurai“, vnt.</v>
      </c>
      <c r="F134" s="191">
        <f>'4_priedo_2'!N171</f>
        <v>1</v>
      </c>
      <c r="G134" s="191">
        <f>'4_priedo_2'!P171</f>
        <v>1</v>
      </c>
      <c r="H134" s="186"/>
      <c r="I134" s="198"/>
      <c r="J134" s="188"/>
      <c r="K134" s="188"/>
      <c r="L134" s="188"/>
      <c r="M134" s="188"/>
      <c r="N134" s="48"/>
      <c r="O134" s="79"/>
      <c r="P134" s="79"/>
      <c r="Q134" s="79"/>
      <c r="R134" s="79"/>
      <c r="S134" s="79"/>
      <c r="T134" s="79"/>
      <c r="U134" s="79"/>
      <c r="V134" s="79"/>
    </row>
    <row r="135" spans="2:34" ht="120" customHeight="1" x14ac:dyDescent="0.25">
      <c r="B135" s="208" t="str">
        <f>'4_priedo_1'!B178</f>
        <v>3.2.3</v>
      </c>
      <c r="C135" s="201" t="str">
        <f>'4_priedo_1'!D178</f>
        <v>Uždavinys: Plėtoti socialinių paslaugų infrastruktūrą ir socialinio būsto fondą bei didinti jų prieinamumą</v>
      </c>
      <c r="D135" s="185"/>
      <c r="E135" s="185"/>
      <c r="F135" s="186"/>
      <c r="G135" s="186"/>
      <c r="H135" s="186"/>
      <c r="I135" s="186"/>
      <c r="J135" s="186"/>
      <c r="K135" s="186"/>
      <c r="L135" s="186"/>
      <c r="M135" s="186"/>
      <c r="N135" s="48"/>
      <c r="O135" s="87"/>
      <c r="P135" s="87"/>
      <c r="Q135" s="289" t="s">
        <v>1259</v>
      </c>
      <c r="R135" s="289" t="s">
        <v>1254</v>
      </c>
      <c r="S135" s="264" t="s">
        <v>1255</v>
      </c>
      <c r="T135" s="289" t="s">
        <v>1256</v>
      </c>
      <c r="U135" s="289" t="s">
        <v>1254</v>
      </c>
      <c r="V135" s="264" t="s">
        <v>1255</v>
      </c>
      <c r="W135" s="294" t="s">
        <v>1257</v>
      </c>
      <c r="X135" s="289" t="s">
        <v>1254</v>
      </c>
      <c r="Y135" s="264" t="s">
        <v>1255</v>
      </c>
      <c r="Z135" s="294" t="s">
        <v>1258</v>
      </c>
      <c r="AA135" s="289" t="s">
        <v>1254</v>
      </c>
      <c r="AB135" s="264" t="s">
        <v>1255</v>
      </c>
      <c r="AC135" s="294" t="s">
        <v>1260</v>
      </c>
      <c r="AD135" s="298" t="s">
        <v>1254</v>
      </c>
      <c r="AE135" s="260" t="s">
        <v>1255</v>
      </c>
      <c r="AF135" s="298" t="s">
        <v>1261</v>
      </c>
      <c r="AG135" s="298" t="s">
        <v>1254</v>
      </c>
      <c r="AH135" s="260" t="s">
        <v>1255</v>
      </c>
    </row>
    <row r="136" spans="2:34" ht="171.75" customHeight="1" x14ac:dyDescent="0.25">
      <c r="B136" s="10"/>
      <c r="C136" s="196"/>
      <c r="D136" s="200"/>
      <c r="E136" s="200" t="s">
        <v>1067</v>
      </c>
      <c r="F136" s="191">
        <v>14</v>
      </c>
      <c r="G136" s="191">
        <f>P136</f>
        <v>54.585028635370215</v>
      </c>
      <c r="H136" s="186"/>
      <c r="I136" s="198"/>
      <c r="J136" s="188"/>
      <c r="K136" s="188"/>
      <c r="L136" s="188"/>
      <c r="M136" s="188"/>
      <c r="N136" s="48"/>
      <c r="O136" s="295">
        <f>S136+V136+Y136+AB136+AE136+AH136</f>
        <v>327.5101718122213</v>
      </c>
      <c r="P136" s="295">
        <f>O136/6</f>
        <v>54.585028635370215</v>
      </c>
      <c r="Q136" s="87">
        <v>103</v>
      </c>
      <c r="R136" s="87">
        <f>114+103</f>
        <v>217</v>
      </c>
      <c r="S136" s="299">
        <f>Q136/R136*100</f>
        <v>47.465437788018434</v>
      </c>
      <c r="T136" s="87">
        <v>196</v>
      </c>
      <c r="U136" s="87">
        <f>154+196</f>
        <v>350</v>
      </c>
      <c r="V136" s="299">
        <f>T136/U136*100</f>
        <v>56.000000000000007</v>
      </c>
      <c r="W136" s="38">
        <v>146</v>
      </c>
      <c r="X136" s="38">
        <f>94+146</f>
        <v>240</v>
      </c>
      <c r="Y136" s="300">
        <f>W136/X136*100</f>
        <v>60.833333333333329</v>
      </c>
      <c r="Z136" s="38">
        <v>117</v>
      </c>
      <c r="AA136" s="38">
        <f>174+117</f>
        <v>291</v>
      </c>
      <c r="AB136" s="300">
        <f>Z136/AA136*100</f>
        <v>40.206185567010309</v>
      </c>
      <c r="AC136" s="38">
        <v>93</v>
      </c>
      <c r="AD136" s="38">
        <f>63+93</f>
        <v>156</v>
      </c>
      <c r="AE136" s="300">
        <f>AC136/AD136*100</f>
        <v>59.615384615384613</v>
      </c>
      <c r="AF136" s="38">
        <v>187</v>
      </c>
      <c r="AG136" s="38">
        <f>108+187</f>
        <v>295</v>
      </c>
      <c r="AH136" s="300">
        <f>AF136/AG136*100</f>
        <v>63.389830508474574</v>
      </c>
    </row>
    <row r="137" spans="2:34" ht="72" customHeight="1" x14ac:dyDescent="0.25">
      <c r="B137" s="208" t="str">
        <f>'4_priedo_1'!B179</f>
        <v>3.2.3.1</v>
      </c>
      <c r="C137" s="201" t="str">
        <f>'4_priedo_1'!D179</f>
        <v>Priemonė: Socialinių paslaugų infrastruktūros plėtra</v>
      </c>
      <c r="D137" s="185"/>
      <c r="E137" s="185"/>
      <c r="F137" s="186"/>
      <c r="G137" s="186"/>
      <c r="H137" s="195">
        <f>'4_priedo_1'!H179</f>
        <v>1222220.76</v>
      </c>
      <c r="I137" s="195">
        <f>'4_priedo_1'!I179+'4_priedo_1'!J179</f>
        <v>810748</v>
      </c>
      <c r="J137" s="195">
        <f>'4_priedo_1'!K179</f>
        <v>411472.75999999995</v>
      </c>
      <c r="K137" s="195">
        <f>'4_priedo_1'!P179</f>
        <v>1014440.62</v>
      </c>
      <c r="L137" s="195">
        <f>'4_priedo_1'!Q179+'4_priedo_1'!R179</f>
        <v>693342.81</v>
      </c>
      <c r="M137" s="195">
        <f>'4_priedo_1'!S179</f>
        <v>321097.80999999994</v>
      </c>
      <c r="N137" s="48"/>
      <c r="O137" s="79"/>
      <c r="P137" s="79"/>
      <c r="Q137" s="79"/>
      <c r="R137" s="79"/>
      <c r="S137" s="79"/>
      <c r="T137" s="79"/>
      <c r="U137" s="79"/>
      <c r="V137" s="79"/>
    </row>
    <row r="138" spans="2:34" ht="94.5" customHeight="1" x14ac:dyDescent="0.25">
      <c r="B138" s="10"/>
      <c r="C138" s="196"/>
      <c r="D138" s="200" t="str">
        <f>'4_priedo_2'!G180</f>
        <v>P.S.361</v>
      </c>
      <c r="E138" s="200" t="str">
        <f>'4_priedo_2'!H180</f>
        <v>Investicijas gavę socialinių paslaugų infrastruktūros objektai, vnt.</v>
      </c>
      <c r="F138" s="191">
        <f>SUM('4_priedo_2'!I180:'4_priedo_2'!I183)</f>
        <v>4</v>
      </c>
      <c r="G138" s="191">
        <f>SUM('4_priedo_2'!K180:'4_priedo_2'!K183)</f>
        <v>2</v>
      </c>
      <c r="H138" s="186"/>
      <c r="I138" s="198"/>
      <c r="J138" s="188"/>
      <c r="K138" s="188"/>
      <c r="L138" s="188"/>
      <c r="M138" s="188"/>
      <c r="N138" s="48"/>
      <c r="O138" s="79"/>
      <c r="P138" s="79"/>
      <c r="Q138" s="79"/>
      <c r="R138" s="79"/>
      <c r="S138" s="79"/>
      <c r="T138" s="79"/>
      <c r="U138" s="79"/>
      <c r="V138" s="79"/>
    </row>
    <row r="139" spans="2:34" ht="132.75" customHeight="1" x14ac:dyDescent="0.25">
      <c r="B139" s="10"/>
      <c r="C139" s="196"/>
      <c r="D139" s="200" t="str">
        <f>'4_priedo_2'!L180</f>
        <v>P.N.403</v>
      </c>
      <c r="E139" s="200" t="str">
        <f>'4_priedo_2'!M180</f>
        <v>Tikslinių grupių asmenys, gavę tiesioginės naudos iš investicijų į socialinių paslaugų infrastruktūrą</v>
      </c>
      <c r="F139" s="191">
        <f>SUM('4_priedo_2'!N180:'4_priedo_2'!N183)</f>
        <v>70</v>
      </c>
      <c r="G139" s="191">
        <f>SUM('4_priedo_2'!P180:'4_priedo_2'!P183)</f>
        <v>0</v>
      </c>
      <c r="H139" s="186"/>
      <c r="I139" s="198"/>
      <c r="J139" s="188"/>
      <c r="K139" s="188"/>
      <c r="L139" s="188"/>
      <c r="M139" s="188"/>
      <c r="N139" s="48"/>
      <c r="O139" s="79"/>
      <c r="P139" s="79"/>
      <c r="Q139" s="79"/>
      <c r="R139" s="79"/>
      <c r="S139" s="79"/>
      <c r="T139" s="79"/>
      <c r="U139" s="79"/>
      <c r="V139" s="79"/>
    </row>
    <row r="140" spans="2:34" ht="108" customHeight="1" x14ac:dyDescent="0.25">
      <c r="B140" s="10"/>
      <c r="C140" s="196"/>
      <c r="D140" s="200" t="str">
        <f>'4_priedo_2'!Q180</f>
        <v>R.N.404</v>
      </c>
      <c r="E140" s="200" t="str">
        <f>'4_priedo_2'!R180</f>
        <v>Investicijas gavusiose įstaigose esančios vietos socialinių paslaugų gavėjams</v>
      </c>
      <c r="F140" s="191">
        <f>SUM('4_priedo_2'!S180:'4_priedo_2'!S183)</f>
        <v>93</v>
      </c>
      <c r="G140" s="191">
        <f>SUM('4_priedo_2'!U180:'4_priedo_2'!U183)</f>
        <v>42</v>
      </c>
      <c r="H140" s="186"/>
      <c r="I140" s="198"/>
      <c r="J140" s="188"/>
      <c r="K140" s="188"/>
      <c r="L140" s="188"/>
      <c r="M140" s="188"/>
      <c r="N140" s="48"/>
      <c r="O140" s="79"/>
      <c r="P140" s="79"/>
      <c r="Q140" s="291"/>
      <c r="R140" s="291"/>
      <c r="S140" s="291"/>
      <c r="T140" s="79"/>
      <c r="U140" s="79"/>
      <c r="V140" s="79"/>
    </row>
    <row r="141" spans="2:34" ht="59.25" customHeight="1" x14ac:dyDescent="0.25">
      <c r="B141" s="208" t="str">
        <f>'4_priedo_1'!B184</f>
        <v>3.2.3.2</v>
      </c>
      <c r="C141" s="201" t="str">
        <f>'4_priedo_1'!D184</f>
        <v>Priemonė: Socialinio būsto fondo plėtra</v>
      </c>
      <c r="D141" s="185"/>
      <c r="E141" s="185"/>
      <c r="F141" s="186"/>
      <c r="G141" s="186"/>
      <c r="H141" s="195">
        <f>'4_priedo_1'!H184</f>
        <v>2565013.8299999996</v>
      </c>
      <c r="I141" s="195">
        <f>'4_priedo_1'!I184+'4_priedo_1'!J184</f>
        <v>2180206.1800000002</v>
      </c>
      <c r="J141" s="195">
        <f>'4_priedo_1'!K184</f>
        <v>384807.64999999997</v>
      </c>
      <c r="K141" s="195">
        <f>'4_priedo_1'!P184</f>
        <v>2240838.91</v>
      </c>
      <c r="L141" s="195">
        <f>'4_priedo_1'!Q184+'4_priedo_1'!R184</f>
        <v>1919878.3599999999</v>
      </c>
      <c r="M141" s="195">
        <f>'4_priedo_1'!S184</f>
        <v>320960.55000000005</v>
      </c>
      <c r="N141" s="48"/>
      <c r="O141" s="79"/>
      <c r="P141" s="79"/>
      <c r="Q141" s="79"/>
      <c r="R141" s="79"/>
      <c r="S141" s="79"/>
      <c r="T141" s="79"/>
      <c r="U141" s="79"/>
      <c r="V141" s="79"/>
    </row>
    <row r="142" spans="2:34" ht="60" customHeight="1" x14ac:dyDescent="0.25">
      <c r="B142" s="10"/>
      <c r="C142" s="196"/>
      <c r="D142" s="200" t="str">
        <f>'4_priedo_2'!G185</f>
        <v>P.S.362</v>
      </c>
      <c r="E142" s="200" t="str">
        <f>'4_priedo_2'!H185</f>
        <v>Naujai įrengti ar įsigyti socialiniai būstai</v>
      </c>
      <c r="F142" s="191">
        <f>SUM('4_priedo_2'!I185:'4_priedo_2'!I190)</f>
        <v>141</v>
      </c>
      <c r="G142" s="191">
        <f>SUM('4_priedo_2'!K185:'4_priedo_2'!K190)</f>
        <v>120</v>
      </c>
      <c r="H142" s="186"/>
      <c r="I142" s="198"/>
      <c r="J142" s="188"/>
      <c r="K142" s="188"/>
      <c r="L142" s="188"/>
      <c r="M142" s="188"/>
      <c r="N142" s="48"/>
      <c r="O142" s="79"/>
      <c r="P142" s="79"/>
      <c r="Q142" s="79"/>
      <c r="R142" s="79"/>
      <c r="S142" s="79"/>
      <c r="T142" s="79"/>
      <c r="U142" s="79"/>
      <c r="V142" s="79"/>
    </row>
    <row r="143" spans="2:34" ht="62.25" customHeight="1" x14ac:dyDescent="0.25">
      <c r="B143" s="12" t="str">
        <f>'4_priedo_1'!B191</f>
        <v>3.2.4</v>
      </c>
      <c r="C143" s="26" t="str">
        <f>'4_priedo_1'!D191</f>
        <v>Uždavinys: Plėtoti kultūros paslaugas ir infrastruktūrą</v>
      </c>
      <c r="D143" s="186"/>
      <c r="E143" s="186"/>
      <c r="F143" s="186"/>
      <c r="G143" s="186"/>
      <c r="H143" s="186"/>
      <c r="I143" s="198"/>
      <c r="J143" s="188"/>
      <c r="K143" s="188"/>
      <c r="L143" s="188"/>
      <c r="M143" s="188"/>
      <c r="N143" s="48"/>
      <c r="O143" s="79"/>
      <c r="P143" s="79"/>
      <c r="Q143" s="87" t="s">
        <v>1269</v>
      </c>
      <c r="R143" s="87" t="s">
        <v>1271</v>
      </c>
      <c r="S143" s="289" t="s">
        <v>1273</v>
      </c>
      <c r="T143" s="79"/>
      <c r="U143" s="79"/>
      <c r="V143" s="79"/>
    </row>
    <row r="144" spans="2:34" ht="60" customHeight="1" x14ac:dyDescent="0.25">
      <c r="B144" s="10"/>
      <c r="C144" s="196"/>
      <c r="D144" s="200"/>
      <c r="E144" s="200" t="s">
        <v>1068</v>
      </c>
      <c r="F144" s="191">
        <v>6</v>
      </c>
      <c r="G144" s="191">
        <v>3</v>
      </c>
      <c r="H144" s="186"/>
      <c r="I144" s="198"/>
      <c r="J144" s="188"/>
      <c r="K144" s="188"/>
      <c r="L144" s="188"/>
      <c r="M144" s="188"/>
      <c r="N144" s="48"/>
      <c r="O144" s="79"/>
      <c r="P144" s="79"/>
      <c r="Q144" s="303" t="s">
        <v>1268</v>
      </c>
      <c r="R144" s="303" t="s">
        <v>1270</v>
      </c>
      <c r="S144" s="303" t="s">
        <v>1272</v>
      </c>
      <c r="T144" s="79"/>
      <c r="U144" s="79"/>
      <c r="V144" s="79"/>
    </row>
    <row r="145" spans="2:23" ht="69" customHeight="1" x14ac:dyDescent="0.25">
      <c r="B145" s="12" t="str">
        <f>'4_priedo_1'!B192</f>
        <v>3.2.4.1</v>
      </c>
      <c r="C145" s="26" t="str">
        <f>'4_priedo_1'!D192</f>
        <v>Priemonė: Modernizuoti savivaldybių kultūros infrastuktūrą</v>
      </c>
      <c r="D145" s="198"/>
      <c r="E145" s="198"/>
      <c r="F145" s="198"/>
      <c r="G145" s="198"/>
      <c r="H145" s="33">
        <f>'4_priedo_1'!H192</f>
        <v>5743640.04</v>
      </c>
      <c r="I145" s="33">
        <f>'4_priedo_1'!I192+'4_priedo_1'!J192</f>
        <v>5360141.0600000005</v>
      </c>
      <c r="J145" s="33">
        <f>'4_priedo_1'!K192</f>
        <v>383498.98000000016</v>
      </c>
      <c r="K145" s="33">
        <f>'4_priedo_1'!P192</f>
        <v>5039016.5</v>
      </c>
      <c r="L145" s="33">
        <f>'4_priedo_1'!Q192+'4_priedo_1'!R192</f>
        <v>4239248.26</v>
      </c>
      <c r="M145" s="33">
        <f>'4_priedo_1'!S192</f>
        <v>799768.23999999964</v>
      </c>
      <c r="N145" s="48"/>
      <c r="O145" s="79"/>
      <c r="P145" s="79"/>
      <c r="Q145" s="79"/>
      <c r="R145" s="79"/>
      <c r="S145" s="79"/>
      <c r="T145" s="79"/>
      <c r="U145" s="79"/>
      <c r="V145" s="79"/>
    </row>
    <row r="146" spans="2:23" ht="71.25" customHeight="1" x14ac:dyDescent="0.25">
      <c r="B146" s="198"/>
      <c r="C146" s="198"/>
      <c r="D146" s="286" t="str">
        <f>'4_priedo_2'!G193</f>
        <v>P.N.304</v>
      </c>
      <c r="E146" s="286" t="str">
        <f>'4_priedo_2'!H193</f>
        <v>Modernizuoti kultūros infrastruktūros objektai, skaičius</v>
      </c>
      <c r="F146" s="33">
        <f>SUM('4_priedo_2'!I193:'4_priedo_2'!I198)</f>
        <v>6</v>
      </c>
      <c r="G146" s="33">
        <f>SUM('4_priedo_2'!K193:'4_priedo_2'!K198)</f>
        <v>3</v>
      </c>
      <c r="H146" s="198"/>
      <c r="I146" s="198"/>
      <c r="J146" s="198"/>
      <c r="K146" s="198"/>
      <c r="L146" s="198"/>
      <c r="M146" s="198"/>
      <c r="N146" s="48"/>
      <c r="O146" s="79"/>
      <c r="P146" s="79"/>
      <c r="Q146" s="79"/>
      <c r="R146" s="79"/>
      <c r="S146" s="79"/>
      <c r="T146" s="79"/>
      <c r="U146" s="79"/>
      <c r="V146" s="79"/>
    </row>
    <row r="147" spans="2:23" ht="69" customHeight="1" x14ac:dyDescent="0.25">
      <c r="B147" s="12" t="str">
        <f>'4_priedo_1'!B199</f>
        <v>3.2.5</v>
      </c>
      <c r="C147" s="26" t="str">
        <f>'4_priedo_1'!D199</f>
        <v>Uždavinys: Gerinti viešąjį valdymą</v>
      </c>
      <c r="D147" s="198"/>
      <c r="E147" s="198"/>
      <c r="F147" s="198"/>
      <c r="G147" s="198"/>
      <c r="H147" s="198"/>
      <c r="I147" s="198"/>
      <c r="J147" s="198"/>
      <c r="K147" s="198"/>
      <c r="L147" s="198"/>
      <c r="M147" s="198"/>
      <c r="N147" s="48"/>
      <c r="O147" s="87"/>
      <c r="P147" s="87"/>
      <c r="Q147" s="87" t="s">
        <v>1262</v>
      </c>
      <c r="R147" s="87" t="s">
        <v>1263</v>
      </c>
      <c r="S147" s="87" t="s">
        <v>1264</v>
      </c>
      <c r="T147" s="302" t="s">
        <v>1265</v>
      </c>
      <c r="U147" s="302" t="s">
        <v>1266</v>
      </c>
      <c r="V147" s="302" t="s">
        <v>1267</v>
      </c>
      <c r="W147" s="38"/>
    </row>
    <row r="148" spans="2:23" ht="132" customHeight="1" x14ac:dyDescent="0.25">
      <c r="B148" s="198"/>
      <c r="C148" s="198"/>
      <c r="D148" s="286"/>
      <c r="E148" s="286" t="s">
        <v>1069</v>
      </c>
      <c r="F148" s="33">
        <v>54</v>
      </c>
      <c r="G148" s="301">
        <f>P148</f>
        <v>78.821666666666658</v>
      </c>
      <c r="H148" s="198"/>
      <c r="I148" s="198"/>
      <c r="J148" s="198"/>
      <c r="K148" s="198"/>
      <c r="L148" s="198"/>
      <c r="M148" s="198"/>
      <c r="N148" s="48"/>
      <c r="O148" s="87">
        <f>Q148+R148+S148+T148+U148+V148</f>
        <v>472.92999999999995</v>
      </c>
      <c r="P148" s="87">
        <f>O148/6</f>
        <v>78.821666666666658</v>
      </c>
      <c r="Q148" s="87">
        <f>50.97+2.25+6.55+9.38+11.32</f>
        <v>80.47</v>
      </c>
      <c r="R148" s="87">
        <f>54.83+2.84+4.96+13.64+16.2</f>
        <v>92.470000000000013</v>
      </c>
      <c r="S148" s="87">
        <f>49.69+2.14+4.85+10.19+10.97</f>
        <v>77.84</v>
      </c>
      <c r="T148" s="87">
        <f>51.24+1.92+4.37+6.54+8.8</f>
        <v>72.87</v>
      </c>
      <c r="U148" s="87">
        <f>47.62+1.91+3.83+4.42+4.8</f>
        <v>62.579999999999991</v>
      </c>
      <c r="V148" s="87">
        <f>53.28+2.42+6.29+11.28+13.43</f>
        <v>86.699999999999989</v>
      </c>
      <c r="W148" s="38"/>
    </row>
    <row r="149" spans="2:23" ht="91.5" customHeight="1" x14ac:dyDescent="0.25">
      <c r="B149" s="12" t="str">
        <f>'4_priedo_1'!B200</f>
        <v>3.2.5.1</v>
      </c>
      <c r="C149" s="26" t="str">
        <f>'4_priedo_1'!D200</f>
        <v>Priemonė: Paslaugų ir asmenų aptarnavimo kokybės gerinimas savivaldybėse</v>
      </c>
      <c r="D149" s="198"/>
      <c r="E149" s="198"/>
      <c r="F149" s="198"/>
      <c r="G149" s="198"/>
      <c r="H149" s="33">
        <f>'4_priedo_1'!H200</f>
        <v>1095588.27</v>
      </c>
      <c r="I149" s="33">
        <f>'4_priedo_1'!I200+'4_priedo_1'!J200</f>
        <v>929674.5</v>
      </c>
      <c r="J149" s="33">
        <f>'4_priedo_1'!K200</f>
        <v>165913.77000000002</v>
      </c>
      <c r="K149" s="33">
        <f>'4_priedo_1'!P200</f>
        <v>575667.24</v>
      </c>
      <c r="L149" s="33">
        <f>'4_priedo_1'!Q200+'4_priedo_1'!R200</f>
        <v>493673.14</v>
      </c>
      <c r="M149" s="33">
        <f>'4_priedo_1'!S200</f>
        <v>81994.100000000006</v>
      </c>
      <c r="N149" s="48"/>
      <c r="O149" s="79"/>
      <c r="P149" s="79"/>
      <c r="Q149" s="79"/>
      <c r="R149" s="79"/>
      <c r="S149" s="79"/>
      <c r="T149" s="79"/>
      <c r="U149" s="79"/>
      <c r="V149" s="79"/>
    </row>
    <row r="150" spans="2:23" ht="168" customHeight="1" x14ac:dyDescent="0.25">
      <c r="B150" s="198"/>
      <c r="C150" s="198"/>
      <c r="D150" s="286" t="str">
        <f>'4_priedo_2'!G201</f>
        <v>P.S.415</v>
      </c>
      <c r="E150" s="286" t="str">
        <f>'4_priedo_2'!H201</f>
        <v>Viešojo valdymo institucijos, pagal veiksmų programą ESF lėšomis įgyvendinusios paslaugų ir (ar) aptarnavimo kokybei gerinti skirtas priemones</v>
      </c>
      <c r="F150" s="33">
        <f>SUM('4_priedo_2'!I201:'4_priedo_2'!I207)</f>
        <v>23</v>
      </c>
      <c r="G150" s="33">
        <f>SUM('4_priedo_2'!K201:'4_priedo_2'!K207)</f>
        <v>16</v>
      </c>
      <c r="H150" s="198"/>
      <c r="I150" s="198"/>
      <c r="J150" s="198"/>
      <c r="K150" s="198"/>
      <c r="L150" s="198"/>
      <c r="M150" s="198"/>
      <c r="N150" s="48"/>
      <c r="O150" s="79"/>
      <c r="P150" s="79"/>
      <c r="Q150" s="79"/>
      <c r="R150" s="79"/>
      <c r="S150" s="79"/>
      <c r="T150" s="79"/>
      <c r="U150" s="79"/>
      <c r="V150" s="79"/>
    </row>
    <row r="151" spans="2:23" ht="272.25" customHeight="1" x14ac:dyDescent="0.25">
      <c r="B151" s="10"/>
      <c r="C151" s="196"/>
      <c r="D151" s="200" t="str">
        <f>'4_priedo_2'!L201</f>
        <v>P.S.416</v>
      </c>
      <c r="E151" s="200" t="str">
        <f>'4_priedo_2'!M201</f>
        <v>Viešojo valdymo institucijų darbuotojai, kurie dalyvavo pagal veiksmų programą ESF lėšomis vykdytose veiklose, skirtose stiprinti teikiamų paslaugų ir (ar) aptarnavimo kokybės gerinimu reikalingas kompetencijas</v>
      </c>
      <c r="F151" s="191">
        <f>SUM('4_priedo_2'!N201:'4_priedo_2'!N207)</f>
        <v>296</v>
      </c>
      <c r="G151" s="191">
        <f>SUM('4_priedo_2'!P201:'4_priedo_2'!P207)</f>
        <v>301</v>
      </c>
      <c r="H151" s="186"/>
      <c r="I151" s="198"/>
      <c r="J151" s="188"/>
      <c r="K151" s="188"/>
      <c r="L151" s="188"/>
      <c r="M151" s="188"/>
      <c r="N151" s="48"/>
      <c r="O151" s="79"/>
      <c r="P151" s="79"/>
      <c r="Q151" s="79"/>
      <c r="R151" s="79"/>
      <c r="S151" s="79"/>
      <c r="T151" s="79"/>
      <c r="U151" s="79"/>
      <c r="V151" s="79"/>
    </row>
    <row r="152" spans="2:23" ht="75.75" customHeight="1" x14ac:dyDescent="0.25">
      <c r="B152" s="10"/>
      <c r="C152" s="196"/>
      <c r="D152" s="200" t="str">
        <f>'4_priedo_2'!Q201</f>
        <v>P.N.910</v>
      </c>
      <c r="E152" s="200" t="str">
        <f>'4_priedo_2'!R201</f>
        <v>Parengtos piliečių chartijos</v>
      </c>
      <c r="F152" s="191">
        <f>'4_priedo_2'!S201+'4_priedo_2'!S203+'4_priedo_2'!S205+'4_priedo_2'!S206</f>
        <v>4</v>
      </c>
      <c r="G152" s="191">
        <f>'4_priedo_2'!U201+'4_priedo_2'!U203+'4_priedo_2'!U205+'4_priedo_2'!U206</f>
        <v>1</v>
      </c>
      <c r="H152" s="186"/>
      <c r="I152" s="198"/>
      <c r="J152" s="188"/>
      <c r="K152" s="188"/>
      <c r="L152" s="188"/>
      <c r="M152" s="188"/>
      <c r="N152" s="48"/>
      <c r="O152" s="79"/>
      <c r="P152" s="79"/>
      <c r="Q152" s="79"/>
      <c r="R152" s="79"/>
      <c r="S152" s="79"/>
      <c r="T152" s="79"/>
      <c r="U152" s="79"/>
      <c r="V152" s="79"/>
    </row>
    <row r="153" spans="2:23" ht="75.75" customHeight="1" x14ac:dyDescent="0.25">
      <c r="B153" s="10"/>
      <c r="C153" s="196"/>
      <c r="D153" s="200"/>
      <c r="E153" s="200"/>
      <c r="F153" s="191"/>
      <c r="G153" s="191"/>
      <c r="H153" s="186"/>
      <c r="I153" s="198"/>
      <c r="J153" s="188"/>
      <c r="K153" s="188"/>
      <c r="L153" s="188"/>
      <c r="M153" s="188"/>
      <c r="N153" s="48"/>
      <c r="O153" s="79"/>
      <c r="P153" s="79"/>
      <c r="Q153" s="79"/>
      <c r="R153" s="79"/>
      <c r="S153" s="79"/>
      <c r="T153" s="79"/>
      <c r="U153" s="79"/>
      <c r="V153" s="7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2020-09-15T13:07:47Z</cp:lastPrinted>
  <dcterms:created xsi:type="dcterms:W3CDTF">2017-11-23T09:10:18Z</dcterms:created>
  <dcterms:modified xsi:type="dcterms:W3CDTF">2020-09-18T07:34:19Z</dcterms:modified>
</cp:coreProperties>
</file>